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14115" windowHeight="6660" tabRatio="726"/>
  </bookViews>
  <sheets>
    <sheet name="Présentation" sheetId="12" r:id="rId1"/>
    <sheet name="LCI" sheetId="11" r:id="rId2"/>
    <sheet name="Feuille de calcul" sheetId="2" r:id="rId3"/>
    <sheet name="Tuyaux" sheetId="5" r:id="rId4"/>
    <sheet name="Listes" sheetId="9" r:id="rId5"/>
    <sheet name="Electricité" sheetId="10" r:id="rId6"/>
  </sheets>
  <calcPr calcId="145621"/>
</workbook>
</file>

<file path=xl/calcChain.xml><?xml version="1.0" encoding="utf-8"?>
<calcChain xmlns="http://schemas.openxmlformats.org/spreadsheetml/2006/main">
  <c r="C36" i="11" l="1"/>
  <c r="S25" i="2" l="1"/>
  <c r="S24" i="2"/>
  <c r="W16" i="2"/>
  <c r="W4" i="2"/>
  <c r="E9" i="5"/>
  <c r="I10" i="2" s="1"/>
  <c r="C9" i="5"/>
  <c r="C8" i="5"/>
  <c r="E8" i="5" s="1"/>
  <c r="I5" i="2" s="1"/>
  <c r="D10" i="5"/>
  <c r="D9" i="5"/>
  <c r="D8" i="5"/>
  <c r="C18" i="2"/>
  <c r="B18" i="2"/>
  <c r="M6" i="2" s="1"/>
  <c r="M7" i="2" s="1"/>
  <c r="D18" i="2"/>
  <c r="O6" i="2" s="1"/>
  <c r="O7" i="2" s="1"/>
  <c r="O8" i="2" l="1"/>
  <c r="B4" i="2" l="1"/>
  <c r="W14" i="2" s="1"/>
  <c r="W15" i="2" l="1"/>
  <c r="W18" i="2" s="1"/>
  <c r="W17" i="2"/>
  <c r="B7" i="2"/>
  <c r="B8" i="2"/>
  <c r="C15" i="2" s="1"/>
  <c r="C14" i="2" s="1"/>
  <c r="B9" i="2"/>
  <c r="D15" i="2" s="1"/>
  <c r="C18" i="11"/>
  <c r="C19" i="11" s="1"/>
  <c r="C20" i="11"/>
  <c r="B10" i="2" l="1"/>
  <c r="N4" i="2"/>
  <c r="I14" i="2"/>
  <c r="S4" i="2"/>
  <c r="S12" i="2" s="1"/>
  <c r="D14" i="2"/>
  <c r="O5" i="2"/>
  <c r="B15" i="2"/>
  <c r="W22" i="2"/>
  <c r="W21" i="2"/>
  <c r="W23" i="2" s="1"/>
  <c r="B14" i="2" l="1"/>
  <c r="I13" i="2" s="1"/>
  <c r="C10" i="5" s="1"/>
  <c r="E10" i="5" s="1"/>
  <c r="I16" i="2" s="1"/>
  <c r="C27" i="11" s="1"/>
  <c r="W7" i="2"/>
  <c r="W10" i="2" s="1"/>
  <c r="O4" i="2"/>
  <c r="O11" i="2" s="1"/>
  <c r="I15" i="2"/>
  <c r="M4" i="2"/>
  <c r="B8" i="10"/>
  <c r="D8" i="10"/>
  <c r="D9" i="10"/>
  <c r="D7" i="10"/>
  <c r="B7" i="10"/>
  <c r="C9" i="10"/>
  <c r="C8" i="10"/>
  <c r="C7" i="10"/>
  <c r="B9" i="10"/>
  <c r="S8" i="2" l="1"/>
  <c r="S16" i="2"/>
  <c r="S22" i="2"/>
  <c r="S23" i="2"/>
  <c r="S21" i="2"/>
  <c r="C17" i="11" l="1"/>
  <c r="C16" i="11"/>
  <c r="C32" i="11"/>
  <c r="D20" i="5" l="1"/>
  <c r="B47" i="5"/>
  <c r="B46" i="5"/>
  <c r="B45" i="5"/>
  <c r="B39" i="5"/>
  <c r="B38" i="5"/>
  <c r="B37" i="5"/>
  <c r="N6" i="2"/>
  <c r="N7" i="2" s="1"/>
  <c r="C35" i="11" l="1"/>
  <c r="N8" i="2"/>
  <c r="M8" i="2" l="1"/>
  <c r="N5" i="2" l="1"/>
  <c r="N11" i="2" s="1"/>
  <c r="S13" i="2"/>
  <c r="C11" i="11" s="1"/>
  <c r="S5" i="2"/>
  <c r="C4" i="11" s="1"/>
  <c r="M5" i="2"/>
  <c r="M11" i="2" s="1"/>
  <c r="M12" i="2" s="1"/>
  <c r="C34" i="11" l="1"/>
  <c r="C6" i="11"/>
  <c r="C25" i="11"/>
  <c r="W8" i="2"/>
  <c r="W11" i="2" s="1"/>
  <c r="C33" i="11" s="1"/>
  <c r="M16" i="2" l="1"/>
  <c r="M14" i="2"/>
  <c r="C10" i="11"/>
  <c r="C9" i="11"/>
  <c r="C8" i="11"/>
  <c r="C7" i="11"/>
  <c r="S18" i="2"/>
  <c r="C14" i="11" s="1"/>
  <c r="S17" i="2"/>
  <c r="C13" i="11" s="1"/>
  <c r="C23" i="11" l="1"/>
  <c r="C24" i="11"/>
  <c r="D28" i="5"/>
  <c r="E28" i="5" s="1"/>
  <c r="D30" i="5"/>
  <c r="E30" i="5" s="1"/>
  <c r="D29" i="5"/>
  <c r="E29" i="5" s="1"/>
  <c r="D22" i="5"/>
  <c r="E22" i="5" s="1"/>
  <c r="D21" i="5"/>
  <c r="E21" i="5" s="1"/>
  <c r="E20" i="5"/>
  <c r="E23" i="5" l="1"/>
  <c r="F23" i="5" s="1"/>
  <c r="E31" i="5"/>
  <c r="F31" i="5" s="1"/>
</calcChain>
</file>

<file path=xl/comments1.xml><?xml version="1.0" encoding="utf-8"?>
<comments xmlns="http://schemas.openxmlformats.org/spreadsheetml/2006/main">
  <authors>
    <author>Catel Laureline</author>
    <author>laureline.catel</author>
  </authors>
  <commentList>
    <comment ref="S4" authorId="0">
      <text>
        <r>
          <rPr>
            <b/>
            <sz val="9"/>
            <color indexed="81"/>
            <rFont val="Tahoma"/>
            <family val="2"/>
          </rPr>
          <t>Catel Laureline:</t>
        </r>
        <r>
          <rPr>
            <sz val="9"/>
            <color indexed="81"/>
            <rFont val="Tahoma"/>
            <family val="2"/>
          </rPr>
          <t xml:space="preserve">
2 fois le volume des bassins, hypothèse.</t>
        </r>
      </text>
    </comment>
    <comment ref="W4" authorId="0">
      <text>
        <r>
          <rPr>
            <b/>
            <sz val="9"/>
            <color indexed="81"/>
            <rFont val="Tahoma"/>
            <family val="2"/>
          </rPr>
          <t>Catel Laureline:</t>
        </r>
        <r>
          <rPr>
            <sz val="9"/>
            <color indexed="81"/>
            <rFont val="Tahoma"/>
            <family val="2"/>
          </rPr>
          <t xml:space="preserve">
1 fois par semaine
52 semaines par an</t>
        </r>
      </text>
    </comment>
    <comment ref="S5" authorId="0">
      <text>
        <r>
          <rPr>
            <b/>
            <sz val="9"/>
            <color indexed="81"/>
            <rFont val="Tahoma"/>
            <family val="2"/>
          </rPr>
          <t>Catel Laureline:</t>
        </r>
        <r>
          <rPr>
            <sz val="9"/>
            <color indexed="81"/>
            <rFont val="Tahoma"/>
            <family val="2"/>
          </rPr>
          <t xml:space="preserve">
110 m3/h</t>
        </r>
      </text>
    </comment>
    <comment ref="M7" authorId="1">
      <text>
        <r>
          <rPr>
            <b/>
            <sz val="9"/>
            <color indexed="81"/>
            <rFont val="Tahoma"/>
            <family val="2"/>
          </rPr>
          <t>laureline.catel:</t>
        </r>
        <r>
          <rPr>
            <sz val="9"/>
            <color indexed="81"/>
            <rFont val="Tahoma"/>
            <family val="2"/>
          </rPr>
          <t xml:space="preserve">
Pente 2/1</t>
        </r>
      </text>
    </comment>
    <comment ref="N7" authorId="1">
      <text>
        <r>
          <rPr>
            <b/>
            <sz val="9"/>
            <color indexed="81"/>
            <rFont val="Tahoma"/>
            <family val="2"/>
          </rPr>
          <t>laureline.catel:</t>
        </r>
        <r>
          <rPr>
            <sz val="9"/>
            <color indexed="81"/>
            <rFont val="Tahoma"/>
            <family val="2"/>
          </rPr>
          <t xml:space="preserve">
Pente 2/1</t>
        </r>
      </text>
    </comment>
    <comment ref="O7" authorId="1">
      <text>
        <r>
          <rPr>
            <b/>
            <sz val="9"/>
            <color indexed="81"/>
            <rFont val="Tahoma"/>
            <family val="2"/>
          </rPr>
          <t>laureline.catel:</t>
        </r>
        <r>
          <rPr>
            <sz val="9"/>
            <color indexed="81"/>
            <rFont val="Tahoma"/>
            <family val="2"/>
          </rPr>
          <t xml:space="preserve">
Pente 2/1</t>
        </r>
      </text>
    </comment>
    <comment ref="W7" authorId="0">
      <text>
        <r>
          <rPr>
            <b/>
            <sz val="9"/>
            <color indexed="81"/>
            <rFont val="Tahoma"/>
            <family val="2"/>
          </rPr>
          <t>Catel Laureline:</t>
        </r>
        <r>
          <rPr>
            <sz val="9"/>
            <color indexed="81"/>
            <rFont val="Tahoma"/>
            <family val="2"/>
          </rPr>
          <t xml:space="preserve">
1,5 fois la surface des lagunes (hypothèse)</t>
        </r>
      </text>
    </comment>
    <comment ref="S8" authorId="0">
      <text>
        <r>
          <rPr>
            <b/>
            <sz val="9"/>
            <color indexed="81"/>
            <rFont val="Tahoma"/>
            <family val="2"/>
          </rPr>
          <t>Catel Laureline:</t>
        </r>
        <r>
          <rPr>
            <sz val="9"/>
            <color indexed="81"/>
            <rFont val="Tahoma"/>
            <family val="2"/>
          </rPr>
          <t xml:space="preserve">
Surface des lagunes + surface des abords</t>
        </r>
      </text>
    </comment>
    <comment ref="W8" authorId="0">
      <text>
        <r>
          <rPr>
            <b/>
            <sz val="9"/>
            <color indexed="81"/>
            <rFont val="Tahoma"/>
            <family val="2"/>
          </rPr>
          <t>Catel Laureline:</t>
        </r>
        <r>
          <rPr>
            <sz val="9"/>
            <color indexed="81"/>
            <rFont val="Tahoma"/>
            <family val="2"/>
          </rPr>
          <t xml:space="preserve">
450 m²/h
8h de travail par jour</t>
        </r>
      </text>
    </comment>
    <comment ref="M9" authorId="0">
      <text>
        <r>
          <rPr>
            <b/>
            <sz val="9"/>
            <color indexed="81"/>
            <rFont val="Tahoma"/>
            <family val="2"/>
          </rPr>
          <t>Catel Laureline:</t>
        </r>
        <r>
          <rPr>
            <sz val="9"/>
            <color indexed="81"/>
            <rFont val="Tahoma"/>
            <family val="2"/>
          </rPr>
          <t xml:space="preserve">
Zone d'ancrage = 50 cm</t>
        </r>
      </text>
    </comment>
    <comment ref="N9" authorId="0">
      <text>
        <r>
          <rPr>
            <b/>
            <sz val="9"/>
            <color indexed="81"/>
            <rFont val="Tahoma"/>
            <family val="2"/>
          </rPr>
          <t>Catel Laureline:</t>
        </r>
        <r>
          <rPr>
            <sz val="9"/>
            <color indexed="81"/>
            <rFont val="Tahoma"/>
            <family val="2"/>
          </rPr>
          <t xml:space="preserve">
Zone d'ancrage = 50 cm</t>
        </r>
      </text>
    </comment>
    <comment ref="W9" authorId="0">
      <text>
        <r>
          <rPr>
            <b/>
            <sz val="9"/>
            <color indexed="81"/>
            <rFont val="Tahoma"/>
            <family val="2"/>
          </rPr>
          <t>Catel Laureline:</t>
        </r>
        <r>
          <rPr>
            <sz val="9"/>
            <color indexed="81"/>
            <rFont val="Tahoma"/>
            <family val="2"/>
          </rPr>
          <t xml:space="preserve">
Liénard et al., 2004
Racault et al., 1997</t>
        </r>
      </text>
    </comment>
    <comment ref="L13" authorId="1">
      <text>
        <r>
          <rPr>
            <b/>
            <sz val="9"/>
            <color indexed="81"/>
            <rFont val="Tahoma"/>
            <family val="2"/>
          </rPr>
          <t>laureline.catel:</t>
        </r>
        <r>
          <rPr>
            <sz val="9"/>
            <color indexed="81"/>
            <rFont val="Tahoma"/>
            <family val="2"/>
          </rPr>
          <t xml:space="preserve">
Source : stage Fernando (voir lien ci-dessous)
Masse moyenne pour une membrane avec une épaisseur entre 1,1 et 1,5 mm. </t>
        </r>
      </text>
    </comment>
    <comment ref="S13" authorId="0">
      <text>
        <r>
          <rPr>
            <b/>
            <sz val="9"/>
            <color indexed="81"/>
            <rFont val="Tahoma"/>
            <family val="2"/>
          </rPr>
          <t>Catel Laureline:</t>
        </r>
        <r>
          <rPr>
            <sz val="9"/>
            <color indexed="81"/>
            <rFont val="Tahoma"/>
            <family val="2"/>
          </rPr>
          <t xml:space="preserve">
110 m3/h</t>
        </r>
      </text>
    </comment>
    <comment ref="B14" authorId="0">
      <text>
        <r>
          <rPr>
            <b/>
            <sz val="9"/>
            <color indexed="81"/>
            <rFont val="Tahoma"/>
            <family val="2"/>
          </rPr>
          <t>Catel Laureline:</t>
        </r>
        <r>
          <rPr>
            <sz val="9"/>
            <color indexed="81"/>
            <rFont val="Tahoma"/>
            <family val="2"/>
          </rPr>
          <t xml:space="preserve">
Ratio de 2 entre la longueur et la largeur</t>
        </r>
      </text>
    </comment>
    <comment ref="C14" authorId="0">
      <text>
        <r>
          <rPr>
            <b/>
            <sz val="9"/>
            <color indexed="81"/>
            <rFont val="Tahoma"/>
            <family val="2"/>
          </rPr>
          <t>Catel Laureline:</t>
        </r>
        <r>
          <rPr>
            <sz val="9"/>
            <color indexed="81"/>
            <rFont val="Tahoma"/>
            <family val="2"/>
          </rPr>
          <t xml:space="preserve">
Ratio de 2 entre la longueur et la largeur</t>
        </r>
      </text>
    </comment>
    <comment ref="D14" authorId="0">
      <text>
        <r>
          <rPr>
            <b/>
            <sz val="9"/>
            <color indexed="81"/>
            <rFont val="Tahoma"/>
            <family val="2"/>
          </rPr>
          <t>Catel Laureline:</t>
        </r>
        <r>
          <rPr>
            <sz val="9"/>
            <color indexed="81"/>
            <rFont val="Tahoma"/>
            <family val="2"/>
          </rPr>
          <t xml:space="preserve">
Ratio de 2 entre la longueur et la largeur</t>
        </r>
      </text>
    </comment>
    <comment ref="W14" authorId="0">
      <text>
        <r>
          <rPr>
            <b/>
            <sz val="9"/>
            <color indexed="81"/>
            <rFont val="Tahoma"/>
            <family val="2"/>
          </rPr>
          <t>Catel Laureline:</t>
        </r>
        <r>
          <rPr>
            <sz val="9"/>
            <color indexed="81"/>
            <rFont val="Tahoma"/>
            <family val="2"/>
          </rPr>
          <t xml:space="preserve">
110 L/(hab*an) (Liénard et al., 2004)</t>
        </r>
      </text>
    </comment>
    <comment ref="L15" authorId="1">
      <text>
        <r>
          <rPr>
            <b/>
            <sz val="9"/>
            <color indexed="81"/>
            <rFont val="Tahoma"/>
            <family val="2"/>
          </rPr>
          <t>laureline.catel:</t>
        </r>
        <r>
          <rPr>
            <sz val="9"/>
            <color indexed="81"/>
            <rFont val="Tahoma"/>
            <family val="2"/>
          </rPr>
          <t xml:space="preserve">
Source : voir lien ci-dessous. On prend la moyenne des masses disponibles soit environ 800 g/m².</t>
        </r>
      </text>
    </comment>
    <comment ref="W15" authorId="0">
      <text>
        <r>
          <rPr>
            <b/>
            <sz val="9"/>
            <color indexed="81"/>
            <rFont val="Tahoma"/>
            <family val="2"/>
          </rPr>
          <t>Catel Laureline:</t>
        </r>
        <r>
          <rPr>
            <sz val="9"/>
            <color indexed="81"/>
            <rFont val="Tahoma"/>
            <family val="2"/>
          </rPr>
          <t xml:space="preserve">
9 m3/h (vitesse pompage)</t>
        </r>
      </text>
    </comment>
    <comment ref="S16" authorId="0">
      <text>
        <r>
          <rPr>
            <b/>
            <sz val="9"/>
            <color indexed="81"/>
            <rFont val="Tahoma"/>
            <family val="2"/>
          </rPr>
          <t>Catel Laureline:</t>
        </r>
        <r>
          <rPr>
            <sz val="9"/>
            <color indexed="81"/>
            <rFont val="Tahoma"/>
            <family val="2"/>
          </rPr>
          <t xml:space="preserve">
Périmètre des lagunes</t>
        </r>
      </text>
    </comment>
    <comment ref="W16" authorId="0">
      <text>
        <r>
          <rPr>
            <b/>
            <sz val="9"/>
            <color indexed="81"/>
            <rFont val="Tahoma"/>
            <family val="2"/>
          </rPr>
          <t>Catel Laureline:</t>
        </r>
        <r>
          <rPr>
            <sz val="9"/>
            <color indexed="81"/>
            <rFont val="Tahoma"/>
            <family val="2"/>
          </rPr>
          <t xml:space="preserve">
1 fois tous les 13 ans</t>
        </r>
      </text>
    </comment>
    <comment ref="S17" authorId="0">
      <text>
        <r>
          <rPr>
            <b/>
            <sz val="9"/>
            <color indexed="81"/>
            <rFont val="Tahoma"/>
            <family val="2"/>
          </rPr>
          <t>Catel Laureline:</t>
        </r>
        <r>
          <rPr>
            <sz val="9"/>
            <color indexed="81"/>
            <rFont val="Tahoma"/>
            <family val="2"/>
          </rPr>
          <t xml:space="preserve">
3 m de large
35 cm d'épaisseur de graviers
Masse volumique graviers : 1700 kg/m3</t>
        </r>
      </text>
    </comment>
    <comment ref="W17" authorId="0">
      <text>
        <r>
          <rPr>
            <b/>
            <sz val="9"/>
            <color indexed="81"/>
            <rFont val="Tahoma"/>
            <family val="2"/>
          </rPr>
          <t>Catel Laureline:</t>
        </r>
        <r>
          <rPr>
            <sz val="9"/>
            <color indexed="81"/>
            <rFont val="Tahoma"/>
            <family val="2"/>
          </rPr>
          <t xml:space="preserve">
Masse volumique des boues : 1000 kg/m3</t>
        </r>
      </text>
    </comment>
    <comment ref="S18" authorId="0">
      <text>
        <r>
          <rPr>
            <b/>
            <sz val="9"/>
            <color indexed="81"/>
            <rFont val="Tahoma"/>
            <family val="2"/>
          </rPr>
          <t>Catel Laureline:</t>
        </r>
        <r>
          <rPr>
            <sz val="9"/>
            <color indexed="81"/>
            <rFont val="Tahoma"/>
            <family val="2"/>
          </rPr>
          <t xml:space="preserve">
3 m de large
Masse géotextile : 300 g/m²</t>
        </r>
      </text>
    </comment>
    <comment ref="W18" authorId="0">
      <text>
        <r>
          <rPr>
            <b/>
            <sz val="9"/>
            <color indexed="81"/>
            <rFont val="Tahoma"/>
            <family val="2"/>
          </rPr>
          <t>Catel Laureline:</t>
        </r>
        <r>
          <rPr>
            <sz val="9"/>
            <color indexed="81"/>
            <rFont val="Tahoma"/>
            <family val="2"/>
          </rPr>
          <t xml:space="preserve">
Dans le cas où on considère que deux machines sont mobilisées (ce qui diminue le temps de travail à 4,5 jours), on considère que les personnes se déplacent séparément, donc le nombre de trajets de change pas. </t>
        </r>
      </text>
    </comment>
    <comment ref="S21" authorId="0">
      <text>
        <r>
          <rPr>
            <b/>
            <sz val="9"/>
            <color indexed="81"/>
            <rFont val="Tahoma"/>
            <family val="2"/>
          </rPr>
          <t>Catel Laureline:</t>
        </r>
        <r>
          <rPr>
            <sz val="9"/>
            <color indexed="81"/>
            <rFont val="Tahoma"/>
            <family val="2"/>
          </rPr>
          <t xml:space="preserve">
10 m3 de béton (hypothèse)
Masse volumique béton armé = 2500 kg/m3</t>
        </r>
      </text>
    </comment>
    <comment ref="W21" authorId="0">
      <text>
        <r>
          <rPr>
            <b/>
            <sz val="9"/>
            <color indexed="81"/>
            <rFont val="Tahoma"/>
            <family val="2"/>
          </rPr>
          <t>Catel Laureline:</t>
        </r>
        <r>
          <rPr>
            <sz val="9"/>
            <color indexed="81"/>
            <rFont val="Tahoma"/>
            <family val="2"/>
          </rPr>
          <t xml:space="preserve">
6 kJ/(EH*j)</t>
        </r>
      </text>
    </comment>
    <comment ref="S22" authorId="0">
      <text>
        <r>
          <rPr>
            <b/>
            <sz val="9"/>
            <color indexed="81"/>
            <rFont val="Tahoma"/>
            <family val="2"/>
          </rPr>
          <t>Catel Laureline:</t>
        </r>
        <r>
          <rPr>
            <sz val="9"/>
            <color indexed="81"/>
            <rFont val="Tahoma"/>
            <family val="2"/>
          </rPr>
          <t xml:space="preserve">
2 m3 de béton (hypothèse)
Masse volumique béton maigre = 2200 kg/m3</t>
        </r>
      </text>
    </comment>
    <comment ref="W22" authorId="0">
      <text>
        <r>
          <rPr>
            <b/>
            <sz val="9"/>
            <color indexed="81"/>
            <rFont val="Tahoma"/>
            <family val="2"/>
          </rPr>
          <t>Catel Laureline:</t>
        </r>
        <r>
          <rPr>
            <sz val="9"/>
            <color indexed="81"/>
            <rFont val="Tahoma"/>
            <family val="2"/>
          </rPr>
          <t xml:space="preserve">
160 kj/(EH*j)</t>
        </r>
      </text>
    </comment>
    <comment ref="R23" authorId="0">
      <text>
        <r>
          <rPr>
            <b/>
            <sz val="9"/>
            <color indexed="81"/>
            <rFont val="Tahoma"/>
            <family val="2"/>
          </rPr>
          <t>Catel Laureline:</t>
        </r>
        <r>
          <rPr>
            <sz val="9"/>
            <color indexed="81"/>
            <rFont val="Tahoma"/>
            <family val="2"/>
          </rPr>
          <t xml:space="preserve">
Le plus souvent équipés de débitmètres</t>
        </r>
      </text>
    </comment>
    <comment ref="S23" authorId="0">
      <text>
        <r>
          <rPr>
            <b/>
            <sz val="9"/>
            <color indexed="81"/>
            <rFont val="Tahoma"/>
            <family val="2"/>
          </rPr>
          <t>Catel Laureline:</t>
        </r>
        <r>
          <rPr>
            <sz val="9"/>
            <color indexed="81"/>
            <rFont val="Tahoma"/>
            <family val="2"/>
          </rPr>
          <t xml:space="preserve">
2 m3 de béton par canal (hypothèse) 
2 canaux 
Masse volumique béton maigre = 2200 kg/m3</t>
        </r>
      </text>
    </comment>
  </commentList>
</comments>
</file>

<file path=xl/sharedStrings.xml><?xml version="1.0" encoding="utf-8"?>
<sst xmlns="http://schemas.openxmlformats.org/spreadsheetml/2006/main" count="312" uniqueCount="208">
  <si>
    <t>kg</t>
  </si>
  <si>
    <t>Gravier</t>
  </si>
  <si>
    <t>m²</t>
  </si>
  <si>
    <t>Largeur (m)</t>
  </si>
  <si>
    <t>Longueur (m)</t>
  </si>
  <si>
    <t>Surface totale (m²)</t>
  </si>
  <si>
    <t>Masse surfacique géomembrane (kg/m²)</t>
  </si>
  <si>
    <t>Masse totale de géomembrane (kg)</t>
  </si>
  <si>
    <t>TOTAL (kg) =</t>
  </si>
  <si>
    <t>totale</t>
  </si>
  <si>
    <t>kg/m</t>
  </si>
  <si>
    <t>m</t>
  </si>
  <si>
    <t>mm</t>
  </si>
  <si>
    <t>Masse</t>
  </si>
  <si>
    <t>long. L</t>
  </si>
  <si>
    <t>Diam int.</t>
  </si>
  <si>
    <t>Diam ext.</t>
  </si>
  <si>
    <t>inox</t>
  </si>
  <si>
    <t>kg/m3</t>
  </si>
  <si>
    <t>PVC</t>
  </si>
  <si>
    <t>Masse vol.</t>
  </si>
  <si>
    <t>Epaisseur (mm)</t>
  </si>
  <si>
    <t>http://www.novintiss.com/telechargement/index.html</t>
  </si>
  <si>
    <t>http://www.firestonebpe.com/en/lining/epdm-geomembrane/technical-information/technical-information-sheets</t>
  </si>
  <si>
    <t xml:space="preserve">Géomembrane : </t>
  </si>
  <si>
    <t xml:space="preserve">Géotextile de protection : </t>
  </si>
  <si>
    <t>Surface de revêtement (m²)</t>
  </si>
  <si>
    <t>Masse surfacique géotextile (kg/m²)</t>
  </si>
  <si>
    <t>Masse totale de géotextile (kg)</t>
  </si>
  <si>
    <t>Nombre d'EH</t>
  </si>
  <si>
    <t>Nombre d'hab équivalent</t>
  </si>
  <si>
    <t>Hauteur revanche (m)</t>
  </si>
  <si>
    <t>Tuyaux 1er étage pour un FPRv 806 EH (Dufour, 2009)</t>
  </si>
  <si>
    <t>20% pris</t>
  </si>
  <si>
    <t>80% pris</t>
  </si>
  <si>
    <t>Diam ext. (mm)</t>
  </si>
  <si>
    <t>Détermination de l'épaisseur des tuyaux en plastique par extrapolation</t>
  </si>
  <si>
    <t>Détermination de l'épaisseur des tuyaux en inox par extrapolation</t>
  </si>
  <si>
    <t>Dimensions</t>
  </si>
  <si>
    <t>Profondeur totale (m)</t>
  </si>
  <si>
    <t>Linéaire de tuyaux (m)</t>
  </si>
  <si>
    <t>Masse tuyaux PVC (kg)</t>
  </si>
  <si>
    <t>Remarque : les calculs sont basés sur les données d'inventaire d'un FPRv 806 EH (Dufour, 2009) présentées plus bas dans la feuille de calcul</t>
  </si>
  <si>
    <t xml:space="preserve">Source des calculs </t>
  </si>
  <si>
    <t>Tuyaux</t>
  </si>
  <si>
    <t>L (m)</t>
  </si>
  <si>
    <t>l (m)</t>
  </si>
  <si>
    <t>h (m) (dont revanche)</t>
  </si>
  <si>
    <t>a (m)</t>
  </si>
  <si>
    <t>p (m)</t>
  </si>
  <si>
    <t>e (m)</t>
  </si>
  <si>
    <t>Terrassement</t>
  </si>
  <si>
    <t>Volume excavé (m3)</t>
  </si>
  <si>
    <t>Temps de travail (h)</t>
  </si>
  <si>
    <t>Démantèlement</t>
  </si>
  <si>
    <t>Volume remanié (m3)</t>
  </si>
  <si>
    <t>Voiries intérieures</t>
  </si>
  <si>
    <t>Longueur totale (m)</t>
  </si>
  <si>
    <t>Masse géotextile (kg)</t>
  </si>
  <si>
    <t>Désherbage mécanique des abords</t>
  </si>
  <si>
    <t>Surface désherbée (m²)</t>
  </si>
  <si>
    <t>Inspection de la STEP</t>
  </si>
  <si>
    <t>Nb trajets aller-retour (/an)</t>
  </si>
  <si>
    <t>Nb opérations par an</t>
  </si>
  <si>
    <t>Temps de travail pour une personne (j)</t>
  </si>
  <si>
    <t>Temps de travail pour une machine (j)</t>
  </si>
  <si>
    <t>Surface désherbée (m²/an)</t>
  </si>
  <si>
    <t>Masse de boues curées (kg/an)</t>
  </si>
  <si>
    <t>Entretien - Exploitation</t>
  </si>
  <si>
    <t>Dégrillage</t>
  </si>
  <si>
    <t>Poste de relevage</t>
  </si>
  <si>
    <t>Génie civil - Equipements</t>
  </si>
  <si>
    <t>Equipements</t>
  </si>
  <si>
    <t>Dégrilleur</t>
  </si>
  <si>
    <t>60 gDBO5/j</t>
  </si>
  <si>
    <t>50 gDBO5/j</t>
  </si>
  <si>
    <t>Liste dégrilleurs</t>
  </si>
  <si>
    <t>Dégrilleur manuel 40 kg</t>
  </si>
  <si>
    <t>Béton</t>
  </si>
  <si>
    <t>Local d'exploitation (kg)</t>
  </si>
  <si>
    <t>Canaux d'arrivée/sortie (kg)</t>
  </si>
  <si>
    <t>Dégrilleur automatique 300 kg (&lt; 1000 EH)</t>
  </si>
  <si>
    <t>Dégrilleur automatique 500 kg (&lt; 2000 EH)</t>
  </si>
  <si>
    <t>Déversoir d'orage (kg)</t>
  </si>
  <si>
    <t>Masse béton armé (kg)</t>
  </si>
  <si>
    <t>Liste postes de relevage</t>
  </si>
  <si>
    <t>Poste de relevage &lt; 2000 EH</t>
  </si>
  <si>
    <t>Poste de relevage &lt; 1000 EH</t>
  </si>
  <si>
    <t>Dégrilleur automatique 1000 kg (&gt;= 2000 EH)</t>
  </si>
  <si>
    <t>Poste de relevage &gt;= 2000 EH</t>
  </si>
  <si>
    <t>Absent</t>
  </si>
  <si>
    <t>BA 1500 EH</t>
  </si>
  <si>
    <t>BA 5200 EH</t>
  </si>
  <si>
    <t>Consommations électriques (kJ/j)</t>
  </si>
  <si>
    <t>Vis compacteuse</t>
  </si>
  <si>
    <t>Valeur retenue</t>
  </si>
  <si>
    <t>Moyenne</t>
  </si>
  <si>
    <t>Consommation totale</t>
  </si>
  <si>
    <t>Quantités/Flux</t>
  </si>
  <si>
    <t>Source d’estimation des quantités/flux</t>
  </si>
  <si>
    <t>Commentaires</t>
  </si>
  <si>
    <t>Etape Construction</t>
  </si>
  <si>
    <t xml:space="preserve">Valeur </t>
  </si>
  <si>
    <t xml:space="preserve">Unité </t>
  </si>
  <si>
    <t>MX024 : Polyester renforcé fibre de verre</t>
  </si>
  <si>
    <t>Géomembrane</t>
  </si>
  <si>
    <t>Géotextile</t>
  </si>
  <si>
    <t>m².a</t>
  </si>
  <si>
    <t>h</t>
  </si>
  <si>
    <t>INT00</t>
  </si>
  <si>
    <t>INT01</t>
  </si>
  <si>
    <t>INT05</t>
  </si>
  <si>
    <t>Consommation électrique</t>
  </si>
  <si>
    <t>ELE00</t>
  </si>
  <si>
    <t>Quantité/Flux</t>
  </si>
  <si>
    <t>Sources des données ACV de base utilisée (Ecoinvent)</t>
  </si>
  <si>
    <t>Aménagements généraux</t>
  </si>
  <si>
    <t>Masse gravier (kg)</t>
  </si>
  <si>
    <t>Aménagements béton</t>
  </si>
  <si>
    <t>Béton armé</t>
  </si>
  <si>
    <t>Béton maigre</t>
  </si>
  <si>
    <t>Masse béton maigre (kg)</t>
  </si>
  <si>
    <t>Occupation du sol</t>
  </si>
  <si>
    <t>Surface occupée (m²)</t>
  </si>
  <si>
    <t>Durée d'occupation (ans)</t>
  </si>
  <si>
    <t>Revêtements fond</t>
  </si>
  <si>
    <t>Tuyaux PVC</t>
  </si>
  <si>
    <t>MX07 : GNT (grave non traitée)</t>
  </si>
  <si>
    <t>MX06 : Polypropylène</t>
  </si>
  <si>
    <t>MX01 : Béton armé</t>
  </si>
  <si>
    <t>MX00 : Béton maigre</t>
  </si>
  <si>
    <t>GC111 (Equipe terrassement)</t>
  </si>
  <si>
    <t>MX05 : Polyéthylène</t>
  </si>
  <si>
    <t>Processus "Dégrilleur" correspondant (préconstruit)</t>
  </si>
  <si>
    <t>Processus "Poste de relevage" correspondant (préconstruit)</t>
  </si>
  <si>
    <t>MX03 : PVC</t>
  </si>
  <si>
    <t>Etape Entretien/Exploitation</t>
  </si>
  <si>
    <t xml:space="preserve">Trajets aller-retour pour entretien régulier (20 km AR) </t>
  </si>
  <si>
    <t>Trajets aller-retour pour entretien occasionnel (20 km AR)</t>
  </si>
  <si>
    <t>Consommation électrique (kWh/j)</t>
  </si>
  <si>
    <t>nb/an</t>
  </si>
  <si>
    <t>m²/an</t>
  </si>
  <si>
    <t>kg/an</t>
  </si>
  <si>
    <t>Sources des données ACV utilisées (Ecoinvent ou autres)</t>
  </si>
  <si>
    <t>Occupation</t>
  </si>
  <si>
    <t>Construction poste de relevage</t>
  </si>
  <si>
    <t>GC111 : Equipe terrassement</t>
  </si>
  <si>
    <t>GC131 : Equipe poste de relevage</t>
  </si>
  <si>
    <t>-</t>
  </si>
  <si>
    <t>Etape Rejets et émissions</t>
  </si>
  <si>
    <t>Voir les documents dédiés</t>
  </si>
  <si>
    <t xml:space="preserve">Source des données : Boutin, C., Gillot, S., Héduit, A., Mur, I., Risch, E., Roux, P., 2011. Modèle ACV – Filière de traitement des eaux usées par boues activées (BA). </t>
  </si>
  <si>
    <t>Consommations électriques (kJ/(EH*j)</t>
  </si>
  <si>
    <t>Transformation/occupation sol</t>
  </si>
  <si>
    <t xml:space="preserve">Occupation, industrial area, vegetation </t>
  </si>
  <si>
    <t>Transformation, from grassland/pasture/meadow</t>
  </si>
  <si>
    <t xml:space="preserve">Transformation, to industrial area, vegetation </t>
  </si>
  <si>
    <t>Transformation d'une friche/prairie pour en faire une STEP</t>
  </si>
  <si>
    <t>Transformation d’une zone occupée par une STEP en une prairie/friche</t>
  </si>
  <si>
    <t xml:space="preserve">Transformation, from industrial area, vegetation </t>
  </si>
  <si>
    <t>Transformation, to pasture and meadow</t>
  </si>
  <si>
    <t>(3) Dire d'expert</t>
  </si>
  <si>
    <t>(1)</t>
  </si>
  <si>
    <t>(2) Base de données Ecoinvent</t>
  </si>
  <si>
    <t>(1) Littérature</t>
  </si>
  <si>
    <t>(4) - (2)</t>
  </si>
  <si>
    <t>(1) - (4)</t>
  </si>
  <si>
    <t>(4) - (1)</t>
  </si>
  <si>
    <t>(5) Documentation technique</t>
  </si>
  <si>
    <t>(4) - (1) - (5)</t>
  </si>
  <si>
    <t>(4)</t>
  </si>
  <si>
    <t>(5) - (4)</t>
  </si>
  <si>
    <t>(4) Hypothèse ou calcul</t>
  </si>
  <si>
    <t>(4) - (5)</t>
  </si>
  <si>
    <t>(1) - (5)</t>
  </si>
  <si>
    <t>(1) - (4) - (5)</t>
  </si>
  <si>
    <t>(1) - (3)</t>
  </si>
  <si>
    <t>Surfaces lagunes</t>
  </si>
  <si>
    <t>1ere lagune (6 m²/hab)</t>
  </si>
  <si>
    <t>2ème lagune (2,5 m²/hab)</t>
  </si>
  <si>
    <t>3ème lagune (2,5 m²/hab)</t>
  </si>
  <si>
    <t>Surface totale lagunes</t>
  </si>
  <si>
    <t>1ère lagune</t>
  </si>
  <si>
    <t>2ème lagune</t>
  </si>
  <si>
    <t>3ème lagune</t>
  </si>
  <si>
    <t>Profondeur eau (m)</t>
  </si>
  <si>
    <t>Cloison siphoïde</t>
  </si>
  <si>
    <t>Cloison siphoïde 1ère lagune</t>
  </si>
  <si>
    <t>Masse totale inox (kg)</t>
  </si>
  <si>
    <t>Dimensions - Cloison siphoïde</t>
  </si>
  <si>
    <t>Alimentation 1ère lagune + connexion avec milieu naturel</t>
  </si>
  <si>
    <t>Communications entre lagunes</t>
  </si>
  <si>
    <t>By-pass des lagunes</t>
  </si>
  <si>
    <t>1ère lagune --&gt; 2ème lagune (m)</t>
  </si>
  <si>
    <t>2ème lagune --&gt; 3ème lagune (m)</t>
  </si>
  <si>
    <t>1ère lagune (m)</t>
  </si>
  <si>
    <t>2ème lagune (m)</t>
  </si>
  <si>
    <t>3ème lagune (m)</t>
  </si>
  <si>
    <t xml:space="preserve">Pompage des boues </t>
  </si>
  <si>
    <t>Volume de boues à 13 ans (m3)</t>
  </si>
  <si>
    <t>MX14 : Acier inoxydable</t>
  </si>
  <si>
    <t>Calcul des masses de tuyaux</t>
  </si>
  <si>
    <t>Lagunes</t>
  </si>
  <si>
    <t>INT06</t>
  </si>
  <si>
    <t>kWh/an</t>
  </si>
  <si>
    <r>
      <t xml:space="preserve">Ce calculateur est à consulter en parallèle du document explicatif intitulé "Hypothèses pour la modélisation des filières extensives".
Il vous permet de comprendre comment ont été réalisés les inventaires pour les infrastructures de STEP de type </t>
    </r>
    <r>
      <rPr>
        <b/>
        <u/>
        <sz val="11"/>
        <color theme="1"/>
        <rFont val="Calibri"/>
        <family val="2"/>
        <scheme val="minor"/>
      </rPr>
      <t>Lagunage Naturel</t>
    </r>
    <r>
      <rPr>
        <sz val="11"/>
        <color theme="1"/>
        <rFont val="Calibri"/>
        <family val="2"/>
        <scheme val="minor"/>
      </rPr>
      <t xml:space="preserve"> dans ACV4E.
Pour cela, dans l'onglet "Feuille de calcul", indiquez le nombre d'équivalents habitants (EH) traités par la station, puis dans l'onglet LCI consultez l'Inventaire du Cycle de Vie de la station.
Dans les onglets "Feuille de calcul", "Tuyaux et drains", "Listes" et "Electricités" vous pouvez consulter les diffférentes hypothèses émises pour l'élaboration de l'inventaire</t>
    </r>
  </si>
  <si>
    <t>CALCULATEUR D'INFRASTRUCTURE POUR LES STEP</t>
  </si>
  <si>
    <t>Lagunage naturel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</si>
</sst>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29" x14ac:knownFonts="1">
    <font>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u/>
      <sz val="11"/>
      <color theme="10"/>
      <name val="Calibri"/>
      <family val="2"/>
    </font>
    <font>
      <sz val="10"/>
      <name val="Arial"/>
      <family val="2"/>
    </font>
    <font>
      <b/>
      <sz val="14"/>
      <color theme="1"/>
      <name val="Calibri"/>
      <family val="2"/>
      <scheme val="minor"/>
    </font>
    <font>
      <sz val="11"/>
      <name val="Calibri"/>
      <family val="2"/>
      <scheme val="minor"/>
    </font>
    <font>
      <b/>
      <sz val="11"/>
      <name val="Calibri"/>
      <family val="2"/>
      <scheme val="minor"/>
    </font>
    <font>
      <b/>
      <sz val="11"/>
      <color theme="3"/>
      <name val="Calibri"/>
      <family val="2"/>
      <scheme val="minor"/>
    </font>
    <font>
      <sz val="10"/>
      <name val="Calibri"/>
      <family val="2"/>
      <scheme val="minor"/>
    </font>
    <font>
      <u/>
      <sz val="11"/>
      <color theme="10"/>
      <name val="Calibri"/>
      <family val="2"/>
      <scheme val="minor"/>
    </font>
    <font>
      <b/>
      <sz val="12"/>
      <name val="Calibri"/>
      <family val="2"/>
      <scheme val="minor"/>
    </font>
    <font>
      <b/>
      <sz val="10"/>
      <name val="Calibri"/>
      <family val="2"/>
      <scheme val="minor"/>
    </font>
    <font>
      <b/>
      <sz val="14"/>
      <name val="Calibri"/>
      <family val="2"/>
      <scheme val="minor"/>
    </font>
    <font>
      <i/>
      <sz val="8"/>
      <color theme="1"/>
      <name val="Calibri"/>
      <family val="2"/>
      <scheme val="minor"/>
    </font>
    <font>
      <sz val="11"/>
      <name val="Calibri"/>
      <family val="2"/>
    </font>
    <font>
      <b/>
      <sz val="14"/>
      <color rgb="FFC00000"/>
      <name val="Calibri"/>
      <family val="2"/>
      <scheme val="minor"/>
    </font>
    <font>
      <b/>
      <i/>
      <sz val="11"/>
      <color theme="1"/>
      <name val="Calibri"/>
      <family val="2"/>
      <scheme val="minor"/>
    </font>
    <font>
      <i/>
      <sz val="11"/>
      <color theme="1"/>
      <name val="Calibri"/>
      <family val="2"/>
      <scheme val="minor"/>
    </font>
    <font>
      <i/>
      <u/>
      <sz val="11"/>
      <color theme="10"/>
      <name val="Calibri"/>
      <family val="2"/>
      <scheme val="minor"/>
    </font>
    <font>
      <i/>
      <sz val="11"/>
      <name val="Calibri"/>
      <family val="2"/>
      <scheme val="minor"/>
    </font>
    <font>
      <b/>
      <sz val="20"/>
      <color theme="1"/>
      <name val="Calibri"/>
      <family val="2"/>
      <scheme val="minor"/>
    </font>
    <font>
      <b/>
      <u/>
      <sz val="11"/>
      <color theme="1"/>
      <name val="Calibri"/>
      <family val="2"/>
      <scheme val="minor"/>
    </font>
    <font>
      <b/>
      <i/>
      <sz val="18"/>
      <color theme="1"/>
      <name val="Calibri"/>
      <family val="2"/>
      <scheme val="minor"/>
    </font>
  </fonts>
  <fills count="12">
    <fill>
      <patternFill patternType="none"/>
    </fill>
    <fill>
      <patternFill patternType="gray125"/>
    </fill>
    <fill>
      <patternFill patternType="solid">
        <fgColor theme="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4"/>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dashed">
        <color auto="1"/>
      </left>
      <right style="dashed">
        <color auto="1"/>
      </right>
      <top style="dashed">
        <color auto="1"/>
      </top>
      <bottom style="dashed">
        <color auto="1"/>
      </bottom>
      <diagonal/>
    </border>
    <border>
      <left/>
      <right/>
      <top style="medium">
        <color theme="3"/>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thin">
        <color theme="0" tint="-0.499984740745262"/>
      </top>
      <bottom style="thin">
        <color theme="0" tint="-0.499984740745262"/>
      </bottom>
      <diagonal/>
    </border>
    <border>
      <left style="medium">
        <color auto="1"/>
      </left>
      <right style="medium">
        <color auto="1"/>
      </right>
      <top style="thin">
        <color theme="0" tint="-0.499984740745262"/>
      </top>
      <bottom/>
      <diagonal/>
    </border>
    <border>
      <left style="medium">
        <color auto="1"/>
      </left>
      <right style="medium">
        <color auto="1"/>
      </right>
      <top/>
      <bottom style="thin">
        <color theme="0" tint="-0.499984740745262"/>
      </bottom>
      <diagonal/>
    </border>
    <border>
      <left style="medium">
        <color auto="1"/>
      </left>
      <right/>
      <top style="thin">
        <color theme="0" tint="-0.499984740745262"/>
      </top>
      <bottom style="thin">
        <color theme="0" tint="-0.499984740745262"/>
      </bottom>
      <diagonal/>
    </border>
    <border>
      <left/>
      <right style="medium">
        <color auto="1"/>
      </right>
      <top style="thin">
        <color theme="0" tint="-0.499984740745262"/>
      </top>
      <bottom style="thin">
        <color theme="0" tint="-0.499984740745262"/>
      </bottom>
      <diagonal/>
    </border>
    <border>
      <left style="medium">
        <color auto="1"/>
      </left>
      <right/>
      <top style="thin">
        <color theme="0" tint="-0.499984740745262"/>
      </top>
      <bottom/>
      <diagonal/>
    </border>
    <border>
      <left/>
      <right style="medium">
        <color auto="1"/>
      </right>
      <top style="thin">
        <color theme="0" tint="-0.499984740745262"/>
      </top>
      <bottom/>
      <diagonal/>
    </border>
    <border>
      <left style="medium">
        <color auto="1"/>
      </left>
      <right/>
      <top/>
      <bottom style="thin">
        <color theme="0" tint="-0.499984740745262"/>
      </bottom>
      <diagonal/>
    </border>
    <border>
      <left/>
      <right style="medium">
        <color auto="1"/>
      </right>
      <top/>
      <bottom style="thin">
        <color theme="0" tint="-0.499984740745262"/>
      </bottom>
      <diagonal/>
    </border>
    <border>
      <left style="medium">
        <color auto="1"/>
      </left>
      <right/>
      <top/>
      <bottom style="thin">
        <color auto="1"/>
      </bottom>
      <diagonal/>
    </border>
    <border>
      <left/>
      <right style="medium">
        <color auto="1"/>
      </right>
      <top/>
      <bottom style="thin">
        <color auto="1"/>
      </bottom>
      <diagonal/>
    </border>
  </borders>
  <cellStyleXfs count="9">
    <xf numFmtId="0" fontId="0" fillId="0" borderId="0"/>
    <xf numFmtId="0" fontId="1" fillId="2" borderId="0" applyNumberFormat="0" applyBorder="0" applyAlignment="0" applyProtection="0"/>
    <xf numFmtId="0" fontId="7" fillId="5" borderId="0" applyNumberFormat="0" applyBorder="0" applyAlignment="0" applyProtection="0"/>
    <xf numFmtId="0" fontId="8" fillId="0" borderId="0" applyNumberFormat="0" applyFill="0" applyBorder="0" applyAlignment="0" applyProtection="0">
      <alignment vertical="top"/>
      <protection locked="0"/>
    </xf>
    <xf numFmtId="0" fontId="6" fillId="7" borderId="0" applyNumberFormat="0" applyBorder="0" applyAlignment="0" applyProtection="0"/>
    <xf numFmtId="0" fontId="9" fillId="6" borderId="3" applyNumberFormat="0" applyFont="0" applyAlignment="0" applyProtection="0"/>
    <xf numFmtId="43" fontId="9" fillId="0" borderId="0" applyFont="0" applyFill="0" applyBorder="0" applyAlignment="0" applyProtection="0"/>
    <xf numFmtId="0" fontId="9" fillId="0" borderId="0"/>
    <xf numFmtId="0" fontId="9" fillId="0" borderId="0"/>
  </cellStyleXfs>
  <cellXfs count="235">
    <xf numFmtId="0" fontId="0" fillId="0" borderId="0" xfId="0"/>
    <xf numFmtId="164" fontId="0" fillId="0" borderId="0" xfId="0" applyNumberFormat="1"/>
    <xf numFmtId="0" fontId="0" fillId="4" borderId="0" xfId="0" applyFill="1"/>
    <xf numFmtId="0" fontId="5" fillId="4" borderId="0" xfId="0" applyFont="1" applyFill="1"/>
    <xf numFmtId="0" fontId="5" fillId="3" borderId="0" xfId="0" applyFont="1" applyFill="1"/>
    <xf numFmtId="0" fontId="0" fillId="3" borderId="0" xfId="0" applyFill="1" applyAlignment="1">
      <alignment horizontal="right"/>
    </xf>
    <xf numFmtId="1" fontId="0" fillId="4" borderId="0" xfId="0" applyNumberFormat="1" applyFill="1"/>
    <xf numFmtId="3" fontId="0" fillId="4" borderId="0" xfId="0" applyNumberFormat="1" applyFill="1"/>
    <xf numFmtId="2" fontId="0" fillId="0" borderId="0" xfId="0" applyNumberFormat="1"/>
    <xf numFmtId="0" fontId="0" fillId="0" borderId="0" xfId="0" applyFill="1"/>
    <xf numFmtId="2" fontId="5" fillId="0" borderId="0" xfId="0" applyNumberFormat="1" applyFont="1" applyFill="1" applyAlignment="1"/>
    <xf numFmtId="0" fontId="0" fillId="3" borderId="0" xfId="0" applyFill="1"/>
    <xf numFmtId="4" fontId="0" fillId="4" borderId="0" xfId="0" applyNumberFormat="1" applyFill="1"/>
    <xf numFmtId="165" fontId="0" fillId="4" borderId="0" xfId="0" applyNumberFormat="1" applyFill="1"/>
    <xf numFmtId="165" fontId="0" fillId="4" borderId="0" xfId="0" applyNumberFormat="1" applyFill="1" applyBorder="1"/>
    <xf numFmtId="3" fontId="0" fillId="4" borderId="0" xfId="0" applyNumberFormat="1" applyFill="1" applyBorder="1"/>
    <xf numFmtId="0" fontId="6" fillId="0" borderId="8" xfId="0" applyFont="1" applyFill="1" applyBorder="1"/>
    <xf numFmtId="0" fontId="6" fillId="0" borderId="8" xfId="2" applyFont="1" applyFill="1" applyBorder="1"/>
    <xf numFmtId="165" fontId="0" fillId="0" borderId="0" xfId="0" applyNumberFormat="1"/>
    <xf numFmtId="0" fontId="10" fillId="0" borderId="0" xfId="0" applyFont="1"/>
    <xf numFmtId="3" fontId="0" fillId="0" borderId="0" xfId="0" applyNumberFormat="1"/>
    <xf numFmtId="0" fontId="5" fillId="0" borderId="0" xfId="0" applyFont="1" applyFill="1"/>
    <xf numFmtId="0" fontId="0" fillId="0" borderId="0" xfId="0" applyFill="1" applyBorder="1"/>
    <xf numFmtId="0" fontId="4" fillId="8" borderId="0" xfId="0" applyFont="1" applyFill="1" applyAlignment="1">
      <alignment horizontal="center" vertical="center"/>
    </xf>
    <xf numFmtId="3" fontId="0" fillId="4" borderId="15" xfId="0" applyNumberFormat="1" applyFill="1" applyBorder="1"/>
    <xf numFmtId="0" fontId="5" fillId="3" borderId="0" xfId="0" applyFont="1" applyFill="1" applyAlignment="1">
      <alignment horizontal="center"/>
    </xf>
    <xf numFmtId="3" fontId="5" fillId="3" borderId="0" xfId="0" applyNumberFormat="1" applyFont="1" applyFill="1" applyAlignment="1">
      <alignment horizontal="center"/>
    </xf>
    <xf numFmtId="2" fontId="14" fillId="0" borderId="0" xfId="7" applyNumberFormat="1" applyFont="1"/>
    <xf numFmtId="0" fontId="0" fillId="0" borderId="0" xfId="0" applyNumberFormat="1" applyFont="1"/>
    <xf numFmtId="2" fontId="0" fillId="0" borderId="0" xfId="0" applyNumberFormat="1" applyFont="1"/>
    <xf numFmtId="2" fontId="0" fillId="0" borderId="0" xfId="0" applyNumberFormat="1" applyFont="1" applyFill="1"/>
    <xf numFmtId="0" fontId="0" fillId="0" borderId="0" xfId="0" applyFont="1"/>
    <xf numFmtId="0" fontId="0" fillId="0" borderId="0" xfId="0" applyFont="1" applyFill="1"/>
    <xf numFmtId="0" fontId="15" fillId="0" borderId="0" xfId="3" applyFont="1" applyFill="1" applyAlignment="1" applyProtection="1"/>
    <xf numFmtId="0" fontId="15" fillId="0" borderId="0" xfId="3" applyFont="1" applyAlignment="1" applyProtection="1"/>
    <xf numFmtId="2" fontId="12" fillId="0" borderId="0" xfId="7" applyNumberFormat="1" applyFont="1"/>
    <xf numFmtId="2" fontId="11" fillId="4" borderId="2" xfId="7" applyNumberFormat="1" applyFont="1" applyFill="1" applyBorder="1" applyAlignment="1">
      <alignment horizontal="center"/>
    </xf>
    <xf numFmtId="1" fontId="11" fillId="4" borderId="14" xfId="7" applyNumberFormat="1" applyFont="1" applyFill="1" applyBorder="1" applyAlignment="1">
      <alignment horizontal="center"/>
    </xf>
    <xf numFmtId="2" fontId="11" fillId="4" borderId="14" xfId="7" applyNumberFormat="1" applyFont="1" applyFill="1" applyBorder="1" applyAlignment="1">
      <alignment horizontal="center"/>
    </xf>
    <xf numFmtId="2" fontId="11" fillId="4" borderId="1" xfId="7" applyNumberFormat="1" applyFont="1" applyFill="1" applyBorder="1" applyAlignment="1">
      <alignment horizontal="center"/>
    </xf>
    <xf numFmtId="2" fontId="11" fillId="0" borderId="0" xfId="7" applyNumberFormat="1" applyFont="1"/>
    <xf numFmtId="2" fontId="11" fillId="4" borderId="13" xfId="7" applyNumberFormat="1" applyFont="1" applyFill="1" applyBorder="1" applyAlignment="1">
      <alignment horizontal="center"/>
    </xf>
    <xf numFmtId="2" fontId="11" fillId="4" borderId="12" xfId="7" applyNumberFormat="1" applyFont="1" applyFill="1" applyBorder="1" applyAlignment="1">
      <alignment horizontal="center"/>
    </xf>
    <xf numFmtId="2" fontId="11" fillId="4" borderId="11" xfId="7" applyNumberFormat="1" applyFont="1" applyFill="1" applyBorder="1" applyAlignment="1">
      <alignment horizontal="center"/>
    </xf>
    <xf numFmtId="2" fontId="11" fillId="4" borderId="9" xfId="7" applyNumberFormat="1" applyFont="1" applyFill="1" applyBorder="1" applyAlignment="1">
      <alignment horizontal="center"/>
    </xf>
    <xf numFmtId="2" fontId="11" fillId="4" borderId="8" xfId="7" applyNumberFormat="1" applyFont="1" applyFill="1" applyBorder="1" applyAlignment="1">
      <alignment horizontal="center"/>
    </xf>
    <xf numFmtId="2" fontId="11" fillId="4" borderId="10" xfId="7" applyNumberFormat="1" applyFont="1" applyFill="1" applyBorder="1" applyAlignment="1">
      <alignment horizontal="center"/>
    </xf>
    <xf numFmtId="2" fontId="11" fillId="0" borderId="9" xfId="7" applyNumberFormat="1" applyFont="1" applyBorder="1"/>
    <xf numFmtId="2" fontId="11" fillId="0" borderId="8" xfId="7" applyNumberFormat="1" applyFont="1" applyBorder="1"/>
    <xf numFmtId="2" fontId="11" fillId="0" borderId="7" xfId="7" applyNumberFormat="1" applyFont="1" applyBorder="1"/>
    <xf numFmtId="2" fontId="11" fillId="0" borderId="0" xfId="7" applyNumberFormat="1" applyFont="1" applyAlignment="1">
      <alignment horizontal="left"/>
    </xf>
    <xf numFmtId="2" fontId="11" fillId="0" borderId="6" xfId="7" applyNumberFormat="1" applyFont="1" applyBorder="1"/>
    <xf numFmtId="2" fontId="11" fillId="0" borderId="5" xfId="7" applyNumberFormat="1" applyFont="1" applyBorder="1"/>
    <xf numFmtId="2" fontId="11" fillId="0" borderId="5" xfId="7" applyNumberFormat="1" applyFont="1" applyBorder="1" applyAlignment="1">
      <alignment horizontal="right"/>
    </xf>
    <xf numFmtId="3" fontId="12" fillId="0" borderId="4" xfId="7" applyNumberFormat="1" applyFont="1" applyBorder="1" applyAlignment="1">
      <alignment horizontal="center"/>
    </xf>
    <xf numFmtId="2" fontId="12" fillId="0" borderId="0" xfId="7" applyNumberFormat="1" applyFont="1" applyAlignment="1">
      <alignment horizontal="center"/>
    </xf>
    <xf numFmtId="2" fontId="6" fillId="0" borderId="8" xfId="0" applyNumberFormat="1" applyFont="1" applyFill="1" applyBorder="1"/>
    <xf numFmtId="2" fontId="16" fillId="0" borderId="0" xfId="7" applyNumberFormat="1" applyFont="1"/>
    <xf numFmtId="2" fontId="18" fillId="0" borderId="0" xfId="7" applyNumberFormat="1" applyFont="1"/>
    <xf numFmtId="2" fontId="11" fillId="0" borderId="0" xfId="7" applyNumberFormat="1" applyFont="1" applyBorder="1"/>
    <xf numFmtId="2" fontId="17" fillId="0" borderId="0" xfId="7" applyNumberFormat="1" applyFont="1"/>
    <xf numFmtId="2" fontId="11" fillId="9" borderId="2" xfId="7" applyNumberFormat="1" applyFont="1" applyFill="1" applyBorder="1" applyAlignment="1">
      <alignment horizontal="center"/>
    </xf>
    <xf numFmtId="1" fontId="11" fillId="9" borderId="14" xfId="7" applyNumberFormat="1" applyFont="1" applyFill="1" applyBorder="1" applyAlignment="1">
      <alignment horizontal="center"/>
    </xf>
    <xf numFmtId="2" fontId="11" fillId="9" borderId="14" xfId="7" applyNumberFormat="1" applyFont="1" applyFill="1" applyBorder="1" applyAlignment="1">
      <alignment horizontal="center"/>
    </xf>
    <xf numFmtId="2" fontId="11" fillId="9" borderId="1" xfId="7" applyNumberFormat="1" applyFont="1" applyFill="1" applyBorder="1" applyAlignment="1">
      <alignment horizontal="center"/>
    </xf>
    <xf numFmtId="2" fontId="11" fillId="9" borderId="13" xfId="7" applyNumberFormat="1" applyFont="1" applyFill="1" applyBorder="1" applyAlignment="1">
      <alignment horizontal="center"/>
    </xf>
    <xf numFmtId="2" fontId="11" fillId="9" borderId="12" xfId="7" applyNumberFormat="1" applyFont="1" applyFill="1" applyBorder="1" applyAlignment="1">
      <alignment horizontal="center"/>
    </xf>
    <xf numFmtId="2" fontId="11" fillId="9" borderId="11" xfId="7" applyNumberFormat="1" applyFont="1" applyFill="1" applyBorder="1" applyAlignment="1">
      <alignment horizontal="center"/>
    </xf>
    <xf numFmtId="2" fontId="11" fillId="9" borderId="9" xfId="7" applyNumberFormat="1" applyFont="1" applyFill="1" applyBorder="1" applyAlignment="1">
      <alignment horizontal="center"/>
    </xf>
    <xf numFmtId="2" fontId="11" fillId="9" borderId="8" xfId="7" applyNumberFormat="1" applyFont="1" applyFill="1" applyBorder="1" applyAlignment="1">
      <alignment horizontal="center"/>
    </xf>
    <xf numFmtId="2" fontId="11" fillId="9" borderId="10" xfId="7" applyNumberFormat="1" applyFont="1" applyFill="1" applyBorder="1" applyAlignment="1">
      <alignment horizontal="center"/>
    </xf>
    <xf numFmtId="2" fontId="11" fillId="0" borderId="16" xfId="7" applyNumberFormat="1" applyFont="1" applyBorder="1"/>
    <xf numFmtId="2" fontId="14" fillId="0" borderId="16" xfId="7" applyNumberFormat="1" applyFont="1" applyBorder="1"/>
    <xf numFmtId="2" fontId="14" fillId="0" borderId="0" xfId="7" applyNumberFormat="1" applyFont="1" applyBorder="1"/>
    <xf numFmtId="2" fontId="13" fillId="0" borderId="16" xfId="7" applyNumberFormat="1" applyFont="1" applyBorder="1"/>
    <xf numFmtId="1" fontId="11" fillId="0" borderId="8" xfId="7" applyNumberFormat="1" applyFont="1" applyBorder="1"/>
    <xf numFmtId="1" fontId="11" fillId="0" borderId="5" xfId="7" applyNumberFormat="1" applyFont="1" applyBorder="1"/>
    <xf numFmtId="1" fontId="11" fillId="0" borderId="7" xfId="7" applyNumberFormat="1" applyFont="1" applyBorder="1"/>
    <xf numFmtId="1" fontId="11" fillId="0" borderId="4" xfId="7" applyNumberFormat="1" applyFont="1" applyBorder="1"/>
    <xf numFmtId="1" fontId="5" fillId="4" borderId="0" xfId="0" applyNumberFormat="1" applyFont="1" applyFill="1"/>
    <xf numFmtId="0" fontId="0" fillId="0" borderId="17" xfId="0" applyBorder="1"/>
    <xf numFmtId="0" fontId="10" fillId="0" borderId="17" xfId="0" applyFont="1" applyBorder="1"/>
    <xf numFmtId="0" fontId="0" fillId="0" borderId="0" xfId="0" applyBorder="1"/>
    <xf numFmtId="0" fontId="0" fillId="3" borderId="0" xfId="0" applyFont="1" applyFill="1"/>
    <xf numFmtId="164" fontId="0" fillId="4" borderId="0" xfId="0" applyNumberFormat="1" applyFill="1" applyBorder="1"/>
    <xf numFmtId="1" fontId="0" fillId="4" borderId="0" xfId="0" applyNumberFormat="1" applyFont="1" applyFill="1" applyBorder="1" applyAlignment="1">
      <alignment vertical="center" wrapText="1"/>
    </xf>
    <xf numFmtId="2" fontId="0" fillId="4" borderId="0" xfId="0" applyNumberFormat="1" applyFill="1" applyBorder="1"/>
    <xf numFmtId="2" fontId="0" fillId="0" borderId="0" xfId="0" applyNumberFormat="1" applyBorder="1"/>
    <xf numFmtId="2" fontId="0" fillId="0" borderId="0" xfId="0" applyNumberFormat="1" applyFill="1" applyBorder="1"/>
    <xf numFmtId="2" fontId="0" fillId="3" borderId="0" xfId="0" applyNumberFormat="1" applyFill="1" applyBorder="1"/>
    <xf numFmtId="2" fontId="5" fillId="3" borderId="0" xfId="0" applyNumberFormat="1" applyFont="1" applyFill="1" applyBorder="1"/>
    <xf numFmtId="1" fontId="0" fillId="4" borderId="0" xfId="0" applyNumberFormat="1" applyFont="1" applyFill="1"/>
    <xf numFmtId="0" fontId="19" fillId="0" borderId="0" xfId="0" applyFont="1" applyAlignment="1">
      <alignment horizontal="center"/>
    </xf>
    <xf numFmtId="0" fontId="5" fillId="0" borderId="0" xfId="0" applyFont="1"/>
    <xf numFmtId="0" fontId="0" fillId="4" borderId="15" xfId="0" applyFill="1" applyBorder="1"/>
    <xf numFmtId="0" fontId="0" fillId="0" borderId="8" xfId="0" applyBorder="1"/>
    <xf numFmtId="164" fontId="0" fillId="0" borderId="8" xfId="0" applyNumberFormat="1" applyBorder="1"/>
    <xf numFmtId="0" fontId="5" fillId="0" borderId="8" xfId="0" applyFont="1" applyBorder="1"/>
    <xf numFmtId="164" fontId="0" fillId="4" borderId="0" xfId="0" applyNumberFormat="1" applyFill="1"/>
    <xf numFmtId="164" fontId="5" fillId="4" borderId="0" xfId="0" applyNumberFormat="1" applyFont="1" applyFill="1"/>
    <xf numFmtId="0" fontId="5"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5" xfId="0" applyFill="1" applyBorder="1" applyAlignment="1">
      <alignment vertical="center" wrapText="1"/>
    </xf>
    <xf numFmtId="0" fontId="0" fillId="0" borderId="25" xfId="0" applyFont="1" applyBorder="1"/>
    <xf numFmtId="0" fontId="0" fillId="0" borderId="24" xfId="0" applyFont="1" applyBorder="1" applyAlignment="1">
      <alignment horizontal="center" vertical="center" wrapText="1"/>
    </xf>
    <xf numFmtId="0" fontId="0" fillId="0" borderId="24" xfId="0" applyFont="1" applyBorder="1"/>
    <xf numFmtId="0" fontId="0" fillId="0" borderId="25" xfId="0" applyFill="1" applyBorder="1" applyAlignment="1">
      <alignment horizontal="left" vertical="center" wrapText="1"/>
    </xf>
    <xf numFmtId="0" fontId="0" fillId="0" borderId="25" xfId="0" applyBorder="1" applyAlignment="1">
      <alignment vertical="center" wrapText="1"/>
    </xf>
    <xf numFmtId="166" fontId="0" fillId="0" borderId="0" xfId="0" applyNumberFormat="1" applyFont="1"/>
    <xf numFmtId="1" fontId="0" fillId="0" borderId="0" xfId="0" applyNumberFormat="1" applyFont="1"/>
    <xf numFmtId="2" fontId="5" fillId="0" borderId="0" xfId="0" applyNumberFormat="1" applyFont="1" applyFill="1"/>
    <xf numFmtId="164" fontId="0" fillId="0" borderId="0" xfId="0" applyNumberFormat="1" applyFont="1" applyFill="1"/>
    <xf numFmtId="0" fontId="0"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5" xfId="0" applyFont="1" applyBorder="1" applyAlignment="1">
      <alignment horizontal="left" vertical="center"/>
    </xf>
    <xf numFmtId="0" fontId="0" fillId="0" borderId="21" xfId="0" applyFont="1" applyBorder="1"/>
    <xf numFmtId="0" fontId="0" fillId="0" borderId="21" xfId="0" applyFont="1" applyBorder="1" applyAlignment="1">
      <alignment horizontal="center"/>
    </xf>
    <xf numFmtId="0" fontId="0" fillId="0" borderId="25" xfId="0" applyFont="1" applyBorder="1" applyAlignment="1">
      <alignment horizontal="center"/>
    </xf>
    <xf numFmtId="0" fontId="0" fillId="0" borderId="24" xfId="0" applyFont="1" applyFill="1" applyBorder="1" applyAlignment="1">
      <alignment horizontal="center" vertical="center"/>
    </xf>
    <xf numFmtId="0" fontId="0" fillId="0" borderId="24" xfId="0" applyBorder="1" applyAlignment="1">
      <alignment vertical="center"/>
    </xf>
    <xf numFmtId="1" fontId="0" fillId="0" borderId="25" xfId="0" applyNumberFormat="1" applyFont="1" applyBorder="1"/>
    <xf numFmtId="164" fontId="0" fillId="0" borderId="25" xfId="0" applyNumberFormat="1" applyFont="1" applyBorder="1"/>
    <xf numFmtId="0" fontId="0" fillId="0" borderId="18" xfId="0" applyFont="1" applyBorder="1" applyAlignment="1">
      <alignment horizontal="right" vertical="center" wrapText="1"/>
    </xf>
    <xf numFmtId="1" fontId="0" fillId="0" borderId="18" xfId="0" applyNumberFormat="1" applyFont="1" applyBorder="1" applyAlignment="1">
      <alignment horizontal="right" vertical="center" wrapText="1"/>
    </xf>
    <xf numFmtId="3" fontId="0" fillId="0" borderId="18" xfId="0" applyNumberFormat="1" applyFont="1" applyFill="1" applyBorder="1" applyAlignment="1">
      <alignment horizontal="right" vertical="center" wrapText="1"/>
    </xf>
    <xf numFmtId="0" fontId="0" fillId="0" borderId="18" xfId="0" applyFont="1" applyBorder="1" applyAlignment="1">
      <alignment horizontal="right" vertical="center"/>
    </xf>
    <xf numFmtId="3" fontId="0" fillId="0" borderId="25" xfId="0" applyNumberFormat="1" applyFont="1" applyFill="1" applyBorder="1" applyAlignment="1">
      <alignment horizontal="right" vertical="center" wrapText="1"/>
    </xf>
    <xf numFmtId="3" fontId="0" fillId="0" borderId="24" xfId="0" applyNumberFormat="1" applyFont="1" applyFill="1" applyBorder="1" applyAlignment="1">
      <alignment horizontal="right" vertical="center" wrapText="1"/>
    </xf>
    <xf numFmtId="1" fontId="0" fillId="0" borderId="24" xfId="0" applyNumberFormat="1" applyFont="1" applyFill="1" applyBorder="1" applyAlignment="1">
      <alignment horizontal="right" vertical="center"/>
    </xf>
    <xf numFmtId="0" fontId="0" fillId="9" borderId="18" xfId="0" applyFont="1" applyFill="1" applyBorder="1" applyAlignment="1">
      <alignment horizontal="right" vertical="center" wrapText="1"/>
    </xf>
    <xf numFmtId="0" fontId="0" fillId="9" borderId="18" xfId="0" applyFont="1" applyFill="1" applyBorder="1" applyAlignment="1">
      <alignment horizontal="center" vertical="center" wrapText="1"/>
    </xf>
    <xf numFmtId="0" fontId="5" fillId="9" borderId="25" xfId="0" applyFont="1" applyFill="1" applyBorder="1" applyAlignment="1">
      <alignment horizontal="center" vertical="center" wrapText="1"/>
    </xf>
    <xf numFmtId="3" fontId="0" fillId="0" borderId="27" xfId="0" applyNumberFormat="1" applyFont="1" applyFill="1" applyBorder="1" applyAlignment="1">
      <alignment horizontal="right" vertical="center" wrapText="1"/>
    </xf>
    <xf numFmtId="0" fontId="0" fillId="0" borderId="27" xfId="0" applyFont="1" applyBorder="1" applyAlignment="1">
      <alignment horizontal="center" vertical="center" wrapText="1"/>
    </xf>
    <xf numFmtId="0" fontId="0" fillId="0" borderId="27" xfId="0" applyFill="1" applyBorder="1" applyAlignment="1">
      <alignment vertical="center" wrapText="1"/>
    </xf>
    <xf numFmtId="0" fontId="0" fillId="0" borderId="27" xfId="0" applyFont="1" applyBorder="1"/>
    <xf numFmtId="0" fontId="0" fillId="0" borderId="28" xfId="0" applyFill="1" applyBorder="1" applyAlignment="1">
      <alignment horizontal="left" vertical="center" wrapText="1"/>
    </xf>
    <xf numFmtId="0" fontId="0" fillId="0" borderId="28" xfId="0" applyFont="1" applyBorder="1"/>
    <xf numFmtId="3" fontId="0" fillId="9" borderId="21" xfId="0" applyNumberFormat="1" applyFont="1" applyFill="1" applyBorder="1" applyAlignment="1">
      <alignment horizontal="right" vertical="center" wrapText="1"/>
    </xf>
    <xf numFmtId="0" fontId="0" fillId="9" borderId="21" xfId="0" applyFont="1" applyFill="1" applyBorder="1" applyAlignment="1">
      <alignment horizontal="center" vertical="center" wrapText="1"/>
    </xf>
    <xf numFmtId="0" fontId="0" fillId="9" borderId="21" xfId="0" applyFont="1" applyFill="1" applyBorder="1" applyAlignment="1">
      <alignment vertical="center" wrapText="1"/>
    </xf>
    <xf numFmtId="0" fontId="20" fillId="9" borderId="21" xfId="3" applyFont="1" applyFill="1" applyBorder="1" applyAlignment="1" applyProtection="1"/>
    <xf numFmtId="3" fontId="0" fillId="0" borderId="26" xfId="0" applyNumberFormat="1" applyFont="1" applyFill="1" applyBorder="1" applyAlignment="1">
      <alignment horizontal="right" vertical="center" wrapText="1"/>
    </xf>
    <xf numFmtId="0" fontId="0" fillId="0" borderId="26" xfId="0" applyFont="1" applyBorder="1" applyAlignment="1">
      <alignment horizontal="center" vertical="center" wrapText="1"/>
    </xf>
    <xf numFmtId="0" fontId="0" fillId="0" borderId="26" xfId="0" applyFill="1" applyBorder="1" applyAlignment="1">
      <alignment vertical="center" wrapText="1"/>
    </xf>
    <xf numFmtId="0" fontId="0" fillId="0" borderId="26" xfId="0" applyFont="1" applyBorder="1"/>
    <xf numFmtId="1" fontId="0" fillId="0" borderId="30" xfId="0" applyNumberFormat="1" applyFont="1" applyBorder="1" applyAlignment="1">
      <alignment horizontal="right" vertical="center" wrapText="1"/>
    </xf>
    <xf numFmtId="0" fontId="0"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2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2" xfId="0" applyFont="1" applyBorder="1" applyAlignment="1">
      <alignment horizontal="right" vertical="center" wrapText="1"/>
    </xf>
    <xf numFmtId="0" fontId="5" fillId="0" borderId="27" xfId="0" applyFont="1" applyBorder="1" applyAlignment="1">
      <alignment horizontal="center" vertical="center" wrapText="1"/>
    </xf>
    <xf numFmtId="1" fontId="0" fillId="0" borderId="34" xfId="0" applyNumberFormat="1" applyFont="1" applyBorder="1" applyAlignment="1">
      <alignment horizontal="right" vertical="center" wrapText="1"/>
    </xf>
    <xf numFmtId="0" fontId="5" fillId="0" borderId="28" xfId="0" applyFont="1" applyBorder="1" applyAlignment="1">
      <alignment horizontal="center" vertical="center" wrapText="1"/>
    </xf>
    <xf numFmtId="0" fontId="0" fillId="0" borderId="34" xfId="0" applyFont="1" applyBorder="1" applyAlignment="1">
      <alignment horizontal="right" vertical="center" wrapText="1"/>
    </xf>
    <xf numFmtId="0" fontId="0" fillId="0" borderId="30" xfId="0" applyFont="1" applyBorder="1" applyAlignment="1">
      <alignment horizontal="right" vertical="center"/>
    </xf>
    <xf numFmtId="0" fontId="0" fillId="0" borderId="26" xfId="0" applyFont="1" applyBorder="1" applyAlignment="1">
      <alignment horizontal="left" vertical="center"/>
    </xf>
    <xf numFmtId="1" fontId="0" fillId="0" borderId="32" xfId="0" applyNumberFormat="1" applyFont="1" applyBorder="1" applyAlignment="1">
      <alignment horizontal="right" vertical="center" wrapText="1"/>
    </xf>
    <xf numFmtId="0" fontId="0" fillId="0" borderId="32" xfId="0" applyFont="1" applyBorder="1" applyAlignment="1">
      <alignment horizontal="left" vertical="center" wrapText="1"/>
    </xf>
    <xf numFmtId="0" fontId="0" fillId="0" borderId="18" xfId="0" applyFill="1" applyBorder="1" applyAlignment="1">
      <alignment horizontal="left" vertical="center" wrapText="1"/>
    </xf>
    <xf numFmtId="0" fontId="0" fillId="0" borderId="18" xfId="0" applyFont="1" applyFill="1" applyBorder="1" applyAlignment="1">
      <alignment horizontal="center" vertical="center" wrapText="1"/>
    </xf>
    <xf numFmtId="3" fontId="0" fillId="0" borderId="34" xfId="0" applyNumberFormat="1" applyFont="1" applyFill="1" applyBorder="1" applyAlignment="1">
      <alignment horizontal="right" vertical="center" wrapText="1"/>
    </xf>
    <xf numFmtId="0" fontId="22" fillId="9" borderId="25" xfId="0" applyFont="1" applyFill="1" applyBorder="1" applyAlignment="1">
      <alignment horizontal="center" vertical="center" wrapText="1"/>
    </xf>
    <xf numFmtId="49" fontId="23" fillId="0" borderId="26"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49" fontId="23" fillId="0" borderId="27" xfId="0" applyNumberFormat="1" applyFont="1" applyBorder="1" applyAlignment="1">
      <alignment horizontal="center" vertical="center" wrapText="1"/>
    </xf>
    <xf numFmtId="49" fontId="23" fillId="0" borderId="25" xfId="0" applyNumberFormat="1" applyFont="1" applyBorder="1" applyAlignment="1">
      <alignment horizontal="center" vertical="center" wrapText="1"/>
    </xf>
    <xf numFmtId="49" fontId="23" fillId="0" borderId="28" xfId="0" applyNumberFormat="1" applyFont="1" applyBorder="1" applyAlignment="1">
      <alignment horizontal="center" vertical="center" wrapText="1"/>
    </xf>
    <xf numFmtId="49" fontId="24" fillId="9" borderId="21" xfId="3" applyNumberFormat="1" applyFont="1" applyFill="1" applyBorder="1" applyAlignment="1" applyProtection="1">
      <alignment vertical="center" wrapText="1"/>
    </xf>
    <xf numFmtId="49" fontId="25" fillId="0" borderId="27" xfId="3" applyNumberFormat="1" applyFont="1" applyBorder="1" applyAlignment="1" applyProtection="1">
      <alignment horizontal="center" vertical="center" wrapText="1"/>
    </xf>
    <xf numFmtId="49" fontId="25" fillId="0" borderId="25" xfId="3" applyNumberFormat="1" applyFont="1" applyBorder="1" applyAlignment="1" applyProtection="1">
      <alignment horizontal="center" vertical="center" wrapText="1"/>
    </xf>
    <xf numFmtId="49" fontId="25" fillId="0" borderId="26" xfId="3" applyNumberFormat="1" applyFont="1" applyBorder="1" applyAlignment="1" applyProtection="1">
      <alignment horizontal="center" vertical="center" wrapText="1"/>
    </xf>
    <xf numFmtId="49" fontId="25" fillId="0" borderId="24" xfId="3" applyNumberFormat="1" applyFont="1" applyBorder="1" applyAlignment="1" applyProtection="1">
      <alignment horizontal="center" vertical="center" wrapText="1"/>
    </xf>
    <xf numFmtId="49" fontId="23" fillId="0" borderId="21" xfId="0" applyNumberFormat="1" applyFont="1" applyBorder="1" applyAlignment="1">
      <alignment horizontal="center"/>
    </xf>
    <xf numFmtId="49" fontId="23" fillId="0" borderId="25" xfId="0" applyNumberFormat="1" applyFont="1" applyBorder="1" applyAlignment="1">
      <alignment horizontal="center"/>
    </xf>
    <xf numFmtId="49" fontId="23" fillId="0" borderId="24" xfId="0" applyNumberFormat="1" applyFont="1" applyBorder="1" applyAlignment="1">
      <alignment horizontal="center" vertical="center"/>
    </xf>
    <xf numFmtId="0" fontId="23" fillId="0" borderId="0" xfId="0" applyFont="1"/>
    <xf numFmtId="1" fontId="5" fillId="4" borderId="0" xfId="0" applyNumberFormat="1" applyFont="1" applyFill="1" applyAlignment="1"/>
    <xf numFmtId="0" fontId="4" fillId="0" borderId="0" xfId="0" applyFont="1" applyFill="1" applyAlignment="1"/>
    <xf numFmtId="0" fontId="5" fillId="0" borderId="0" xfId="0" applyFont="1" applyFill="1" applyAlignment="1"/>
    <xf numFmtId="2" fontId="0" fillId="4" borderId="0" xfId="0" applyNumberFormat="1" applyFill="1"/>
    <xf numFmtId="2" fontId="5" fillId="4" borderId="0" xfId="0" applyNumberFormat="1" applyFont="1" applyFill="1"/>
    <xf numFmtId="0" fontId="0" fillId="0" borderId="24" xfId="0" applyFill="1" applyBorder="1" applyAlignment="1">
      <alignment vertical="center" wrapText="1"/>
    </xf>
    <xf numFmtId="0" fontId="11" fillId="0" borderId="33" xfId="0" applyFont="1" applyBorder="1" applyAlignment="1">
      <alignment horizontal="right" vertical="center" wrapText="1"/>
    </xf>
    <xf numFmtId="0" fontId="11" fillId="0" borderId="34" xfId="0" applyFont="1" applyBorder="1" applyAlignment="1">
      <alignment horizontal="righ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5" fillId="0" borderId="25"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0" fillId="0" borderId="25" xfId="0" applyFont="1" applyFill="1" applyBorder="1" applyAlignment="1">
      <alignment horizontal="right" vertical="center" wrapText="1"/>
    </xf>
    <xf numFmtId="0" fontId="0" fillId="0" borderId="24" xfId="0" applyFont="1" applyBorder="1" applyAlignment="1">
      <alignment horizontal="lef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Fill="1" applyBorder="1" applyAlignment="1">
      <alignment horizontal="left" vertical="center" wrapText="1"/>
    </xf>
    <xf numFmtId="0" fontId="0" fillId="0" borderId="24" xfId="0" applyFont="1" applyFill="1" applyBorder="1" applyAlignment="1">
      <alignment horizontal="right" vertical="center" wrapText="1"/>
    </xf>
    <xf numFmtId="0" fontId="0" fillId="0" borderId="25" xfId="0" applyFont="1" applyBorder="1" applyAlignment="1">
      <alignment horizontal="left"/>
    </xf>
    <xf numFmtId="0" fontId="0" fillId="0" borderId="21" xfId="0" applyFont="1" applyBorder="1" applyAlignment="1">
      <alignment horizontal="left"/>
    </xf>
    <xf numFmtId="0" fontId="0" fillId="0" borderId="17" xfId="0" applyFont="1" applyFill="1" applyBorder="1" applyAlignment="1">
      <alignment horizontal="right" vertical="center" wrapText="1"/>
    </xf>
    <xf numFmtId="0" fontId="0" fillId="0" borderId="18" xfId="0" applyFont="1" applyFill="1" applyBorder="1" applyAlignment="1">
      <alignment horizontal="right" vertical="center" wrapText="1"/>
    </xf>
    <xf numFmtId="0" fontId="0" fillId="0" borderId="33" xfId="0" applyFont="1" applyFill="1" applyBorder="1" applyAlignment="1">
      <alignment horizontal="right" vertical="center" wrapText="1"/>
    </xf>
    <xf numFmtId="0" fontId="0" fillId="0" borderId="34" xfId="0" applyFont="1" applyFill="1" applyBorder="1" applyAlignment="1">
      <alignment horizontal="right" vertical="center" wrapText="1"/>
    </xf>
    <xf numFmtId="0" fontId="5" fillId="9" borderId="21"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0" xfId="0" applyFont="1" applyFill="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4" fillId="8" borderId="0" xfId="0" applyFont="1" applyFill="1" applyAlignment="1">
      <alignment horizontal="center"/>
    </xf>
    <xf numFmtId="2" fontId="8" fillId="0" borderId="0" xfId="3" applyNumberFormat="1" applyAlignment="1" applyProtection="1">
      <alignment horizontal="left"/>
    </xf>
    <xf numFmtId="2" fontId="8" fillId="0" borderId="18" xfId="3" applyNumberFormat="1" applyBorder="1" applyAlignment="1" applyProtection="1">
      <alignment horizontal="left"/>
    </xf>
    <xf numFmtId="3" fontId="0" fillId="4" borderId="0" xfId="0" applyNumberFormat="1" applyFill="1" applyBorder="1" applyAlignment="1">
      <alignment horizontal="center"/>
    </xf>
    <xf numFmtId="4" fontId="0" fillId="4" borderId="0" xfId="0" applyNumberFormat="1" applyFill="1" applyBorder="1" applyAlignment="1">
      <alignment horizontal="center"/>
    </xf>
    <xf numFmtId="3" fontId="5" fillId="4" borderId="0" xfId="0" applyNumberFormat="1" applyFont="1" applyFill="1" applyBorder="1" applyAlignment="1">
      <alignment horizontal="center"/>
    </xf>
    <xf numFmtId="0" fontId="4" fillId="2" borderId="0" xfId="1" applyFont="1" applyAlignment="1">
      <alignment horizontal="center"/>
    </xf>
    <xf numFmtId="0" fontId="4" fillId="8" borderId="0" xfId="0" applyFont="1" applyFill="1" applyAlignment="1">
      <alignment horizontal="left"/>
    </xf>
    <xf numFmtId="0" fontId="26" fillId="11" borderId="0" xfId="0" applyFont="1" applyFill="1"/>
    <xf numFmtId="0" fontId="0" fillId="11" borderId="0" xfId="0" applyFill="1"/>
    <xf numFmtId="0" fontId="0" fillId="10" borderId="15" xfId="0" applyFill="1" applyBorder="1" applyAlignment="1">
      <alignment wrapText="1"/>
    </xf>
    <xf numFmtId="0" fontId="28" fillId="11" borderId="0" xfId="0" applyFont="1" applyFill="1"/>
  </cellXfs>
  <cellStyles count="9">
    <cellStyle name="20 % - Accent1 2" xfId="4"/>
    <cellStyle name="Accent1" xfId="1" builtinId="29"/>
    <cellStyle name="Commentaire 2" xfId="5"/>
    <cellStyle name="Lien hypertexte" xfId="3" builtinId="8"/>
    <cellStyle name="Milliers 2" xfId="6"/>
    <cellStyle name="Normal" xfId="0" builtinId="0"/>
    <cellStyle name="Normal 2" xfId="7"/>
    <cellStyle name="Normal 3" xfId="8"/>
    <cellStyle name="Satisfaisant"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Epaisseur</a:t>
            </a:r>
            <a:r>
              <a:rPr lang="fr-FR" baseline="0"/>
              <a:t> des tuyaux en plastique</a:t>
            </a:r>
            <a:endParaRPr lang="fr-FR"/>
          </a:p>
        </c:rich>
      </c:tx>
      <c:overlay val="0"/>
    </c:title>
    <c:autoTitleDeleted val="0"/>
    <c:plotArea>
      <c:layout>
        <c:manualLayout>
          <c:layoutTarget val="inner"/>
          <c:xMode val="edge"/>
          <c:yMode val="edge"/>
          <c:x val="0.18719351663791661"/>
          <c:y val="0.33102595435487292"/>
          <c:w val="0.47989990818540984"/>
          <c:h val="0.53305449234215929"/>
        </c:manualLayout>
      </c:layout>
      <c:scatterChart>
        <c:scatterStyle val="lineMarker"/>
        <c:varyColors val="0"/>
        <c:ser>
          <c:idx val="0"/>
          <c:order val="0"/>
          <c:spPr>
            <a:ln w="28575">
              <a:noFill/>
            </a:ln>
          </c:spPr>
          <c:trendline>
            <c:trendlineType val="linear"/>
            <c:dispRSqr val="1"/>
            <c:dispEq val="1"/>
            <c:trendlineLbl>
              <c:layout>
                <c:manualLayout>
                  <c:x val="-8.8498048939959592E-2"/>
                  <c:y val="5.0481128883279797E-2"/>
                </c:manualLayout>
              </c:layout>
              <c:numFmt formatCode="General" sourceLinked="0"/>
            </c:trendlineLbl>
          </c:trendline>
          <c:xVal>
            <c:numRef>
              <c:f>Tuyaux!$A$37:$A$39</c:f>
              <c:numCache>
                <c:formatCode>General</c:formatCode>
                <c:ptCount val="3"/>
                <c:pt idx="0">
                  <c:v>160</c:v>
                </c:pt>
                <c:pt idx="1">
                  <c:v>200</c:v>
                </c:pt>
                <c:pt idx="2">
                  <c:v>250</c:v>
                </c:pt>
              </c:numCache>
            </c:numRef>
          </c:xVal>
          <c:yVal>
            <c:numRef>
              <c:f>Tuyaux!$B$37:$B$39</c:f>
              <c:numCache>
                <c:formatCode>0.00</c:formatCode>
                <c:ptCount val="3"/>
                <c:pt idx="0">
                  <c:v>2.5</c:v>
                </c:pt>
                <c:pt idx="1">
                  <c:v>3.1500000000000057</c:v>
                </c:pt>
                <c:pt idx="2">
                  <c:v>3.9500000000000028</c:v>
                </c:pt>
              </c:numCache>
            </c:numRef>
          </c:yVal>
          <c:smooth val="0"/>
        </c:ser>
        <c:dLbls>
          <c:showLegendKey val="0"/>
          <c:showVal val="0"/>
          <c:showCatName val="0"/>
          <c:showSerName val="0"/>
          <c:showPercent val="0"/>
          <c:showBubbleSize val="0"/>
        </c:dLbls>
        <c:axId val="158725760"/>
        <c:axId val="166871616"/>
      </c:scatterChart>
      <c:valAx>
        <c:axId val="158725760"/>
        <c:scaling>
          <c:orientation val="minMax"/>
          <c:min val="100"/>
        </c:scaling>
        <c:delete val="0"/>
        <c:axPos val="b"/>
        <c:title>
          <c:tx>
            <c:rich>
              <a:bodyPr/>
              <a:lstStyle/>
              <a:p>
                <a:pPr>
                  <a:defRPr/>
                </a:pPr>
                <a:r>
                  <a:rPr lang="fr-FR"/>
                  <a:t>Diamètre ext.</a:t>
                </a:r>
                <a:r>
                  <a:rPr lang="fr-FR" baseline="0"/>
                  <a:t> (mm)</a:t>
                </a:r>
                <a:endParaRPr lang="fr-FR"/>
              </a:p>
            </c:rich>
          </c:tx>
          <c:layout>
            <c:manualLayout>
              <c:xMode val="edge"/>
              <c:yMode val="edge"/>
              <c:x val="0.69758504152523515"/>
              <c:y val="0.82958970161129453"/>
            </c:manualLayout>
          </c:layout>
          <c:overlay val="0"/>
        </c:title>
        <c:numFmt formatCode="General" sourceLinked="1"/>
        <c:majorTickMark val="out"/>
        <c:minorTickMark val="none"/>
        <c:tickLblPos val="nextTo"/>
        <c:crossAx val="166871616"/>
        <c:crosses val="autoZero"/>
        <c:crossBetween val="midCat"/>
      </c:valAx>
      <c:valAx>
        <c:axId val="166871616"/>
        <c:scaling>
          <c:orientation val="minMax"/>
          <c:min val="1.5"/>
        </c:scaling>
        <c:delete val="0"/>
        <c:axPos val="l"/>
        <c:majorGridlines/>
        <c:title>
          <c:tx>
            <c:rich>
              <a:bodyPr rot="0" vert="horz"/>
              <a:lstStyle/>
              <a:p>
                <a:pPr>
                  <a:defRPr/>
                </a:pPr>
                <a:r>
                  <a:rPr lang="fr-FR"/>
                  <a:t>Epaisseur (mm)</a:t>
                </a:r>
              </a:p>
            </c:rich>
          </c:tx>
          <c:layout>
            <c:manualLayout>
              <c:xMode val="edge"/>
              <c:yMode val="edge"/>
              <c:x val="8.8336764787713545E-2"/>
              <c:y val="0.2026940913685171"/>
            </c:manualLayout>
          </c:layout>
          <c:overlay val="0"/>
        </c:title>
        <c:numFmt formatCode="0.00" sourceLinked="1"/>
        <c:majorTickMark val="out"/>
        <c:minorTickMark val="none"/>
        <c:tickLblPos val="nextTo"/>
        <c:crossAx val="158725760"/>
        <c:crosses val="autoZero"/>
        <c:crossBetween val="midCat"/>
      </c:valAx>
    </c:plotArea>
    <c:legend>
      <c:legendPos val="r"/>
      <c:overlay val="0"/>
    </c:legend>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342900</xdr:colOff>
      <xdr:row>21</xdr:row>
      <xdr:rowOff>5494</xdr:rowOff>
    </xdr:from>
    <xdr:to>
      <xdr:col>14</xdr:col>
      <xdr:colOff>685800</xdr:colOff>
      <xdr:row>44</xdr:row>
      <xdr:rowOff>163829</xdr:rowOff>
    </xdr:to>
    <xdr:pic>
      <xdr:nvPicPr>
        <xdr:cNvPr id="34" name="Image 33"/>
        <xdr:cNvPicPr>
          <a:picLocks noChangeAspect="1"/>
        </xdr:cNvPicPr>
      </xdr:nvPicPr>
      <xdr:blipFill>
        <a:blip xmlns:r="http://schemas.openxmlformats.org/officeDocument/2006/relationships" r:embed="rId1"/>
        <a:stretch>
          <a:fillRect/>
        </a:stretch>
      </xdr:blipFill>
      <xdr:spPr>
        <a:xfrm>
          <a:off x="11896725" y="4053619"/>
          <a:ext cx="5133975" cy="4539835"/>
        </a:xfrm>
        <a:prstGeom prst="rect">
          <a:avLst/>
        </a:prstGeom>
      </xdr:spPr>
    </xdr:pic>
    <xdr:clientData/>
  </xdr:twoCellAnchor>
  <xdr:twoCellAnchor editAs="oneCell">
    <xdr:from>
      <xdr:col>10</xdr:col>
      <xdr:colOff>561975</xdr:colOff>
      <xdr:row>46</xdr:row>
      <xdr:rowOff>2456</xdr:rowOff>
    </xdr:from>
    <xdr:to>
      <xdr:col>15</xdr:col>
      <xdr:colOff>409575</xdr:colOff>
      <xdr:row>69</xdr:row>
      <xdr:rowOff>148589</xdr:rowOff>
    </xdr:to>
    <xdr:pic>
      <xdr:nvPicPr>
        <xdr:cNvPr id="35" name="Image 34"/>
        <xdr:cNvPicPr>
          <a:picLocks noChangeAspect="1"/>
        </xdr:cNvPicPr>
      </xdr:nvPicPr>
      <xdr:blipFill>
        <a:blip xmlns:r="http://schemas.openxmlformats.org/officeDocument/2006/relationships" r:embed="rId2"/>
        <a:stretch>
          <a:fillRect/>
        </a:stretch>
      </xdr:blipFill>
      <xdr:spPr>
        <a:xfrm>
          <a:off x="12115800" y="8813081"/>
          <a:ext cx="5400675" cy="4527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714374</xdr:colOff>
      <xdr:row>31</xdr:row>
      <xdr:rowOff>19050</xdr:rowOff>
    </xdr:from>
    <xdr:to>
      <xdr:col>12</xdr:col>
      <xdr:colOff>742950</xdr:colOff>
      <xdr:row>47</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restonebpe.com/en/lining/epdm-geomembrane/technical-information/technical-information-sheets" TargetMode="External"/><Relationship Id="rId1" Type="http://schemas.openxmlformats.org/officeDocument/2006/relationships/hyperlink" Target="http://www.novintiss.com/telechargement/index.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workbookViewId="0"/>
  </sheetViews>
  <sheetFormatPr baseColWidth="10" defaultRowHeight="15" x14ac:dyDescent="0.25"/>
  <cols>
    <col min="1" max="1" width="4.140625" style="232" customWidth="1"/>
    <col min="2" max="2" width="148.7109375" style="232" customWidth="1"/>
    <col min="3" max="16384" width="11.42578125" style="232"/>
  </cols>
  <sheetData>
    <row r="1" spans="1:2" ht="26.25" x14ac:dyDescent="0.4">
      <c r="A1" s="231" t="s">
        <v>206</v>
      </c>
    </row>
    <row r="2" spans="1:2" ht="23.25" x14ac:dyDescent="0.35">
      <c r="B2" s="234" t="s">
        <v>207</v>
      </c>
    </row>
    <row r="4" spans="1:2" ht="90" x14ac:dyDescent="0.25">
      <c r="B4" s="233"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47"/>
  <sheetViews>
    <sheetView zoomScaleNormal="100" zoomScalePageLayoutView="125" workbookViewId="0">
      <selection activeCell="C37" sqref="C37"/>
    </sheetView>
  </sheetViews>
  <sheetFormatPr baseColWidth="10" defaultRowHeight="15" x14ac:dyDescent="0.25"/>
  <cols>
    <col min="1" max="1" width="11.42578125" style="31"/>
    <col min="2" max="2" width="30.140625" style="31" customWidth="1"/>
    <col min="3" max="4" width="11.42578125" style="31" customWidth="1"/>
    <col min="5" max="5" width="21.42578125" style="31" customWidth="1"/>
    <col min="6" max="6" width="58.7109375" style="31" bestFit="1" customWidth="1"/>
    <col min="7" max="7" width="101" style="31" customWidth="1"/>
    <col min="8" max="16384" width="11.42578125" style="31"/>
  </cols>
  <sheetData>
    <row r="1" spans="1:7" ht="15.75" customHeight="1" thickBot="1" x14ac:dyDescent="0.3">
      <c r="A1" s="188" t="s">
        <v>101</v>
      </c>
      <c r="B1" s="189"/>
      <c r="C1" s="206" t="s">
        <v>98</v>
      </c>
      <c r="D1" s="207"/>
      <c r="E1" s="194" t="s">
        <v>99</v>
      </c>
      <c r="F1" s="194" t="s">
        <v>143</v>
      </c>
      <c r="G1" s="194" t="s">
        <v>100</v>
      </c>
    </row>
    <row r="2" spans="1:7" ht="15.75" customHeight="1" thickBot="1" x14ac:dyDescent="0.3">
      <c r="A2" s="190"/>
      <c r="B2" s="191"/>
      <c r="C2" s="100" t="s">
        <v>102</v>
      </c>
      <c r="D2" s="100" t="s">
        <v>103</v>
      </c>
      <c r="E2" s="195"/>
      <c r="F2" s="195"/>
      <c r="G2" s="195"/>
    </row>
    <row r="3" spans="1:7" ht="15.75" customHeight="1" x14ac:dyDescent="0.25">
      <c r="A3" s="217" t="s">
        <v>116</v>
      </c>
      <c r="B3" s="218"/>
      <c r="C3" s="129"/>
      <c r="D3" s="130"/>
      <c r="E3" s="164"/>
      <c r="F3" s="131"/>
      <c r="G3" s="131"/>
    </row>
    <row r="4" spans="1:7" ht="15.75" customHeight="1" x14ac:dyDescent="0.25">
      <c r="A4" s="219" t="s">
        <v>51</v>
      </c>
      <c r="B4" s="220"/>
      <c r="C4" s="146">
        <f>'Feuille de calcul'!S5</f>
        <v>0</v>
      </c>
      <c r="D4" s="147" t="s">
        <v>108</v>
      </c>
      <c r="E4" s="165" t="s">
        <v>165</v>
      </c>
      <c r="F4" s="149" t="s">
        <v>146</v>
      </c>
      <c r="G4" s="148"/>
    </row>
    <row r="5" spans="1:7" ht="15.75" customHeight="1" x14ac:dyDescent="0.25">
      <c r="A5" s="196" t="s">
        <v>153</v>
      </c>
      <c r="B5" s="197"/>
      <c r="C5" s="159"/>
      <c r="D5" s="150"/>
      <c r="E5" s="166"/>
      <c r="F5" s="160"/>
      <c r="G5" s="153"/>
    </row>
    <row r="6" spans="1:7" ht="15.75" customHeight="1" x14ac:dyDescent="0.25">
      <c r="A6" s="212" t="s">
        <v>144</v>
      </c>
      <c r="B6" s="213"/>
      <c r="C6" s="124">
        <f>'Feuille de calcul'!S8*'Feuille de calcul'!S9</f>
        <v>0</v>
      </c>
      <c r="D6" s="112" t="s">
        <v>107</v>
      </c>
      <c r="E6" s="167" t="s">
        <v>166</v>
      </c>
      <c r="F6" s="161" t="s">
        <v>154</v>
      </c>
      <c r="G6" s="103"/>
    </row>
    <row r="7" spans="1:7" ht="15.75" customHeight="1" x14ac:dyDescent="0.25">
      <c r="A7" s="212" t="s">
        <v>157</v>
      </c>
      <c r="B7" s="213"/>
      <c r="C7" s="124">
        <f>'Feuille de calcul'!S8</f>
        <v>0</v>
      </c>
      <c r="D7" s="162" t="s">
        <v>2</v>
      </c>
      <c r="E7" s="167" t="s">
        <v>166</v>
      </c>
      <c r="F7" s="161" t="s">
        <v>155</v>
      </c>
      <c r="G7" s="103"/>
    </row>
    <row r="8" spans="1:7" ht="15.75" customHeight="1" x14ac:dyDescent="0.25">
      <c r="A8" s="212"/>
      <c r="B8" s="213"/>
      <c r="C8" s="124">
        <f>'Feuille de calcul'!S8</f>
        <v>0</v>
      </c>
      <c r="D8" s="162" t="s">
        <v>2</v>
      </c>
      <c r="E8" s="167" t="s">
        <v>166</v>
      </c>
      <c r="F8" s="161" t="s">
        <v>156</v>
      </c>
      <c r="G8" s="103"/>
    </row>
    <row r="9" spans="1:7" ht="15.75" customHeight="1" x14ac:dyDescent="0.25">
      <c r="A9" s="212" t="s">
        <v>158</v>
      </c>
      <c r="B9" s="213"/>
      <c r="C9" s="124">
        <f>'Feuille de calcul'!S8</f>
        <v>0</v>
      </c>
      <c r="D9" s="162" t="s">
        <v>2</v>
      </c>
      <c r="E9" s="167" t="s">
        <v>166</v>
      </c>
      <c r="F9" s="161" t="s">
        <v>159</v>
      </c>
      <c r="G9" s="103"/>
    </row>
    <row r="10" spans="1:7" ht="15.75" customHeight="1" x14ac:dyDescent="0.25">
      <c r="A10" s="214"/>
      <c r="B10" s="215"/>
      <c r="C10" s="163">
        <f>'Feuille de calcul'!S8</f>
        <v>0</v>
      </c>
      <c r="D10" s="162" t="s">
        <v>2</v>
      </c>
      <c r="E10" s="167" t="s">
        <v>166</v>
      </c>
      <c r="F10" s="161" t="s">
        <v>160</v>
      </c>
      <c r="G10" s="137"/>
    </row>
    <row r="11" spans="1:7" ht="15.75" customHeight="1" x14ac:dyDescent="0.25">
      <c r="A11" s="219" t="s">
        <v>54</v>
      </c>
      <c r="B11" s="220"/>
      <c r="C11" s="146">
        <f>'Feuille de calcul'!S13</f>
        <v>0</v>
      </c>
      <c r="D11" s="147" t="s">
        <v>108</v>
      </c>
      <c r="E11" s="165" t="s">
        <v>165</v>
      </c>
      <c r="F11" s="149" t="s">
        <v>131</v>
      </c>
      <c r="G11" s="148"/>
    </row>
    <row r="12" spans="1:7" ht="15.75" customHeight="1" x14ac:dyDescent="0.25">
      <c r="A12" s="196" t="s">
        <v>56</v>
      </c>
      <c r="B12" s="197"/>
      <c r="C12" s="152"/>
      <c r="D12" s="150"/>
      <c r="E12" s="168"/>
      <c r="F12" s="153"/>
      <c r="G12" s="153"/>
    </row>
    <row r="13" spans="1:7" ht="15.75" customHeight="1" x14ac:dyDescent="0.25">
      <c r="A13" s="198" t="s">
        <v>1</v>
      </c>
      <c r="B13" s="199"/>
      <c r="C13" s="123">
        <f>'Feuille de calcul'!S17</f>
        <v>0</v>
      </c>
      <c r="D13" s="112" t="s">
        <v>0</v>
      </c>
      <c r="E13" s="169" t="s">
        <v>169</v>
      </c>
      <c r="F13" s="106" t="s">
        <v>127</v>
      </c>
      <c r="G13" s="113"/>
    </row>
    <row r="14" spans="1:7" ht="15.75" customHeight="1" x14ac:dyDescent="0.25">
      <c r="A14" s="186" t="s">
        <v>106</v>
      </c>
      <c r="B14" s="187"/>
      <c r="C14" s="154">
        <f>'Feuille de calcul'!S18</f>
        <v>0</v>
      </c>
      <c r="D14" s="151" t="s">
        <v>0</v>
      </c>
      <c r="E14" s="169" t="s">
        <v>169</v>
      </c>
      <c r="F14" s="136" t="s">
        <v>128</v>
      </c>
      <c r="G14" s="155"/>
    </row>
    <row r="15" spans="1:7" ht="15.75" customHeight="1" x14ac:dyDescent="0.25">
      <c r="A15" s="196" t="s">
        <v>118</v>
      </c>
      <c r="B15" s="197"/>
      <c r="C15" s="152"/>
      <c r="D15" s="150"/>
      <c r="E15" s="168"/>
      <c r="F15" s="153"/>
      <c r="G15" s="153"/>
    </row>
    <row r="16" spans="1:7" ht="15.75" customHeight="1" x14ac:dyDescent="0.25">
      <c r="A16" s="198" t="s">
        <v>119</v>
      </c>
      <c r="B16" s="199"/>
      <c r="C16" s="122">
        <f>'Feuille de calcul'!S24</f>
        <v>25000</v>
      </c>
      <c r="D16" s="112" t="s">
        <v>0</v>
      </c>
      <c r="E16" s="169" t="s">
        <v>171</v>
      </c>
      <c r="F16" s="106" t="s">
        <v>129</v>
      </c>
      <c r="G16" s="113"/>
    </row>
    <row r="17" spans="1:7" ht="15.75" customHeight="1" x14ac:dyDescent="0.25">
      <c r="A17" s="186" t="s">
        <v>120</v>
      </c>
      <c r="B17" s="187"/>
      <c r="C17" s="156">
        <f>'Feuille de calcul'!S25</f>
        <v>13200</v>
      </c>
      <c r="D17" s="151" t="s">
        <v>0</v>
      </c>
      <c r="E17" s="170" t="s">
        <v>171</v>
      </c>
      <c r="F17" s="136" t="s">
        <v>130</v>
      </c>
      <c r="G17" s="155"/>
    </row>
    <row r="18" spans="1:7" ht="15.75" customHeight="1" x14ac:dyDescent="0.25">
      <c r="A18" s="221" t="s">
        <v>70</v>
      </c>
      <c r="B18" s="222"/>
      <c r="C18" s="125">
        <f>'Feuille de calcul'!S29</f>
        <v>0</v>
      </c>
      <c r="D18" s="112" t="s">
        <v>148</v>
      </c>
      <c r="E18" s="169" t="s">
        <v>148</v>
      </c>
      <c r="F18" s="114" t="s">
        <v>134</v>
      </c>
      <c r="G18" s="113"/>
    </row>
    <row r="19" spans="1:7" x14ac:dyDescent="0.25">
      <c r="A19" s="192" t="s">
        <v>145</v>
      </c>
      <c r="B19" s="193"/>
      <c r="C19" s="125">
        <f>IF(OR(C18="Absent",C18=0),0,16)</f>
        <v>0</v>
      </c>
      <c r="D19" s="112" t="s">
        <v>108</v>
      </c>
      <c r="E19" s="169" t="s">
        <v>170</v>
      </c>
      <c r="F19" s="114" t="s">
        <v>147</v>
      </c>
      <c r="G19" s="113"/>
    </row>
    <row r="20" spans="1:7" ht="15.75" customHeight="1" thickBot="1" x14ac:dyDescent="0.3">
      <c r="A20" s="200" t="s">
        <v>73</v>
      </c>
      <c r="B20" s="201"/>
      <c r="C20" s="157">
        <f>'Feuille de calcul'!S28</f>
        <v>0</v>
      </c>
      <c r="D20" s="147" t="s">
        <v>148</v>
      </c>
      <c r="E20" s="165" t="s">
        <v>148</v>
      </c>
      <c r="F20" s="158" t="s">
        <v>133</v>
      </c>
      <c r="G20" s="148"/>
    </row>
    <row r="21" spans="1:7" ht="15.75" customHeight="1" x14ac:dyDescent="0.25">
      <c r="A21" s="216" t="s">
        <v>202</v>
      </c>
      <c r="B21" s="216"/>
      <c r="C21" s="138"/>
      <c r="D21" s="139"/>
      <c r="E21" s="171"/>
      <c r="F21" s="140"/>
      <c r="G21" s="141"/>
    </row>
    <row r="22" spans="1:7" ht="15.75" customHeight="1" x14ac:dyDescent="0.25">
      <c r="A22" s="203" t="s">
        <v>125</v>
      </c>
      <c r="B22" s="203"/>
      <c r="C22" s="132"/>
      <c r="D22" s="133"/>
      <c r="E22" s="172"/>
      <c r="F22" s="134" t="s">
        <v>104</v>
      </c>
      <c r="G22" s="135"/>
    </row>
    <row r="23" spans="1:7" ht="15.75" customHeight="1" x14ac:dyDescent="0.25">
      <c r="A23" s="204" t="s">
        <v>105</v>
      </c>
      <c r="B23" s="204"/>
      <c r="C23" s="126">
        <f>'Feuille de calcul'!M14</f>
        <v>-7.5342769758542492</v>
      </c>
      <c r="D23" s="101" t="s">
        <v>0</v>
      </c>
      <c r="E23" s="173" t="s">
        <v>173</v>
      </c>
      <c r="F23" s="107" t="s">
        <v>132</v>
      </c>
      <c r="G23" s="103"/>
    </row>
    <row r="24" spans="1:7" ht="15.75" customHeight="1" x14ac:dyDescent="0.25">
      <c r="A24" s="204" t="s">
        <v>106</v>
      </c>
      <c r="B24" s="204"/>
      <c r="C24" s="126">
        <f>'Feuille de calcul'!M16</f>
        <v>-4.2747670784988649</v>
      </c>
      <c r="D24" s="101" t="s">
        <v>0</v>
      </c>
      <c r="E24" s="173" t="s">
        <v>173</v>
      </c>
      <c r="F24" s="106" t="s">
        <v>128</v>
      </c>
      <c r="G24" s="103"/>
    </row>
    <row r="25" spans="1:7" ht="15.75" customHeight="1" x14ac:dyDescent="0.25">
      <c r="A25" s="208" t="s">
        <v>186</v>
      </c>
      <c r="B25" s="208"/>
      <c r="C25" s="142">
        <f>'Feuille de calcul'!B21</f>
        <v>20</v>
      </c>
      <c r="D25" s="143" t="s">
        <v>0</v>
      </c>
      <c r="E25" s="174" t="s">
        <v>174</v>
      </c>
      <c r="F25" s="144" t="s">
        <v>200</v>
      </c>
      <c r="G25" s="145"/>
    </row>
    <row r="26" spans="1:7" ht="15.75" customHeight="1" x14ac:dyDescent="0.25">
      <c r="A26" s="202" t="s">
        <v>44</v>
      </c>
      <c r="B26" s="202"/>
      <c r="C26" s="126"/>
      <c r="D26" s="101"/>
      <c r="E26" s="173"/>
      <c r="F26" s="102"/>
      <c r="G26" s="103"/>
    </row>
    <row r="27" spans="1:7" ht="15.75" customHeight="1" thickBot="1" x14ac:dyDescent="0.3">
      <c r="A27" s="209" t="s">
        <v>126</v>
      </c>
      <c r="B27" s="209"/>
      <c r="C27" s="127">
        <f>'Feuille de calcul'!I5+'Feuille de calcul'!I10+'Feuille de calcul'!I16</f>
        <v>301.08765878752206</v>
      </c>
      <c r="D27" s="104" t="s">
        <v>0</v>
      </c>
      <c r="E27" s="175" t="s">
        <v>175</v>
      </c>
      <c r="F27" s="185" t="s">
        <v>135</v>
      </c>
      <c r="G27" s="105"/>
    </row>
    <row r="28" spans="1:7" ht="15" customHeight="1" x14ac:dyDescent="0.25">
      <c r="B28" s="110"/>
      <c r="C28" s="111"/>
      <c r="D28" s="111"/>
      <c r="E28" s="111"/>
    </row>
    <row r="29" spans="1:7" ht="15.75" thickBot="1" x14ac:dyDescent="0.3"/>
    <row r="30" spans="1:7" ht="15.75" customHeight="1" thickBot="1" x14ac:dyDescent="0.3">
      <c r="A30" s="188" t="s">
        <v>136</v>
      </c>
      <c r="B30" s="189"/>
      <c r="C30" s="206" t="s">
        <v>98</v>
      </c>
      <c r="D30" s="207"/>
      <c r="E30" s="194" t="s">
        <v>99</v>
      </c>
      <c r="F30" s="194" t="s">
        <v>143</v>
      </c>
      <c r="G30" s="194" t="s">
        <v>100</v>
      </c>
    </row>
    <row r="31" spans="1:7" ht="15.75" customHeight="1" thickBot="1" x14ac:dyDescent="0.3">
      <c r="A31" s="190"/>
      <c r="B31" s="191"/>
      <c r="C31" s="100" t="s">
        <v>102</v>
      </c>
      <c r="D31" s="100" t="s">
        <v>103</v>
      </c>
      <c r="E31" s="195"/>
      <c r="F31" s="195"/>
      <c r="G31" s="195"/>
    </row>
    <row r="32" spans="1:7" x14ac:dyDescent="0.25">
      <c r="A32" s="211" t="s">
        <v>137</v>
      </c>
      <c r="B32" s="211"/>
      <c r="C32" s="115">
        <f>'Feuille de calcul'!W4</f>
        <v>52</v>
      </c>
      <c r="D32" s="116" t="s">
        <v>140</v>
      </c>
      <c r="E32" s="176" t="s">
        <v>162</v>
      </c>
      <c r="F32" s="115" t="s">
        <v>109</v>
      </c>
      <c r="G32" s="115"/>
    </row>
    <row r="33" spans="1:7" x14ac:dyDescent="0.25">
      <c r="A33" s="210" t="s">
        <v>138</v>
      </c>
      <c r="B33" s="210"/>
      <c r="C33" s="121">
        <f>'Feuille de calcul'!W11+'Feuille de calcul'!W18</f>
        <v>0</v>
      </c>
      <c r="D33" s="117" t="s">
        <v>140</v>
      </c>
      <c r="E33" s="177" t="s">
        <v>170</v>
      </c>
      <c r="F33" s="103" t="s">
        <v>111</v>
      </c>
      <c r="G33" s="103"/>
    </row>
    <row r="34" spans="1:7" x14ac:dyDescent="0.25">
      <c r="A34" s="210" t="s">
        <v>59</v>
      </c>
      <c r="B34" s="210"/>
      <c r="C34" s="120">
        <f>'Feuille de calcul'!W10</f>
        <v>0</v>
      </c>
      <c r="D34" s="117" t="s">
        <v>141</v>
      </c>
      <c r="E34" s="177" t="s">
        <v>167</v>
      </c>
      <c r="F34" s="103" t="s">
        <v>110</v>
      </c>
      <c r="G34" s="103"/>
    </row>
    <row r="35" spans="1:7" x14ac:dyDescent="0.25">
      <c r="A35" s="210" t="s">
        <v>198</v>
      </c>
      <c r="B35" s="210"/>
      <c r="C35" s="120">
        <f>'Feuille de calcul'!W17</f>
        <v>0</v>
      </c>
      <c r="D35" s="117" t="s">
        <v>142</v>
      </c>
      <c r="E35" s="177" t="s">
        <v>176</v>
      </c>
      <c r="F35" s="103" t="s">
        <v>203</v>
      </c>
      <c r="G35" s="103"/>
    </row>
    <row r="36" spans="1:7" ht="15.75" thickBot="1" x14ac:dyDescent="0.3">
      <c r="A36" s="205" t="s">
        <v>112</v>
      </c>
      <c r="B36" s="205"/>
      <c r="C36" s="128">
        <f>'Feuille de calcul'!W23*365</f>
        <v>0</v>
      </c>
      <c r="D36" s="118" t="s">
        <v>204</v>
      </c>
      <c r="E36" s="178" t="s">
        <v>166</v>
      </c>
      <c r="F36" s="119" t="s">
        <v>113</v>
      </c>
      <c r="G36" s="105"/>
    </row>
    <row r="37" spans="1:7" x14ac:dyDescent="0.25">
      <c r="C37" s="109"/>
      <c r="D37" s="108"/>
    </row>
    <row r="38" spans="1:7" ht="15.75" thickBot="1" x14ac:dyDescent="0.3"/>
    <row r="39" spans="1:7" ht="15.75" customHeight="1" thickBot="1" x14ac:dyDescent="0.3">
      <c r="A39" s="188" t="s">
        <v>149</v>
      </c>
      <c r="B39" s="189"/>
      <c r="C39" s="206" t="s">
        <v>114</v>
      </c>
      <c r="D39" s="207"/>
      <c r="E39" s="194" t="s">
        <v>99</v>
      </c>
      <c r="F39" s="194" t="s">
        <v>115</v>
      </c>
      <c r="G39" s="194" t="s">
        <v>100</v>
      </c>
    </row>
    <row r="40" spans="1:7" ht="15.75" customHeight="1" thickBot="1" x14ac:dyDescent="0.3">
      <c r="A40" s="190"/>
      <c r="B40" s="191"/>
      <c r="C40" s="100" t="s">
        <v>102</v>
      </c>
      <c r="D40" s="100" t="s">
        <v>103</v>
      </c>
      <c r="E40" s="195"/>
      <c r="F40" s="195"/>
      <c r="G40" s="195"/>
    </row>
    <row r="41" spans="1:7" x14ac:dyDescent="0.25">
      <c r="A41" s="93" t="s">
        <v>150</v>
      </c>
    </row>
    <row r="43" spans="1:7" x14ac:dyDescent="0.25">
      <c r="A43" s="179" t="s">
        <v>164</v>
      </c>
    </row>
    <row r="44" spans="1:7" x14ac:dyDescent="0.25">
      <c r="A44" s="179" t="s">
        <v>163</v>
      </c>
    </row>
    <row r="45" spans="1:7" x14ac:dyDescent="0.25">
      <c r="A45" s="179" t="s">
        <v>161</v>
      </c>
    </row>
    <row r="46" spans="1:7" x14ac:dyDescent="0.25">
      <c r="A46" s="179" t="s">
        <v>172</v>
      </c>
    </row>
    <row r="47" spans="1:7" x14ac:dyDescent="0.25">
      <c r="A47" s="179" t="s">
        <v>168</v>
      </c>
    </row>
  </sheetData>
  <mergeCells count="43">
    <mergeCell ref="G30:G31"/>
    <mergeCell ref="A7:B8"/>
    <mergeCell ref="A9:B10"/>
    <mergeCell ref="G1:G2"/>
    <mergeCell ref="A21:B21"/>
    <mergeCell ref="A3:B3"/>
    <mergeCell ref="A4:B4"/>
    <mergeCell ref="A11:B11"/>
    <mergeCell ref="A12:B12"/>
    <mergeCell ref="C1:D1"/>
    <mergeCell ref="E1:E2"/>
    <mergeCell ref="F1:F2"/>
    <mergeCell ref="A5:B5"/>
    <mergeCell ref="A6:B6"/>
    <mergeCell ref="A18:B18"/>
    <mergeCell ref="A13:B13"/>
    <mergeCell ref="A27:B27"/>
    <mergeCell ref="E39:E40"/>
    <mergeCell ref="F39:F40"/>
    <mergeCell ref="C30:D30"/>
    <mergeCell ref="E30:E31"/>
    <mergeCell ref="F30:F31"/>
    <mergeCell ref="A35:B35"/>
    <mergeCell ref="A32:B32"/>
    <mergeCell ref="A33:B33"/>
    <mergeCell ref="A34:B34"/>
    <mergeCell ref="A30:B31"/>
    <mergeCell ref="A14:B14"/>
    <mergeCell ref="A1:B2"/>
    <mergeCell ref="A19:B19"/>
    <mergeCell ref="A39:B40"/>
    <mergeCell ref="G39:G40"/>
    <mergeCell ref="A15:B15"/>
    <mergeCell ref="A16:B16"/>
    <mergeCell ref="A17:B17"/>
    <mergeCell ref="A20:B20"/>
    <mergeCell ref="A26:B26"/>
    <mergeCell ref="A22:B22"/>
    <mergeCell ref="A23:B23"/>
    <mergeCell ref="A24:B24"/>
    <mergeCell ref="A36:B36"/>
    <mergeCell ref="C39:D39"/>
    <mergeCell ref="A25:B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29"/>
  <sheetViews>
    <sheetView workbookViewId="0">
      <selection activeCell="D10" sqref="D10"/>
    </sheetView>
  </sheetViews>
  <sheetFormatPr baseColWidth="10" defaultRowHeight="15" x14ac:dyDescent="0.25"/>
  <cols>
    <col min="1" max="1" width="25.85546875" customWidth="1"/>
    <col min="2" max="2" width="14.28515625" customWidth="1"/>
    <col min="3" max="3" width="13.85546875" customWidth="1"/>
    <col min="4" max="4" width="12.42578125" bestFit="1" customWidth="1"/>
    <col min="5" max="5" width="17.85546875" customWidth="1"/>
    <col min="6" max="6" width="11.42578125" customWidth="1"/>
    <col min="7" max="7" width="11.42578125" style="80"/>
    <col min="8" max="8" width="28.85546875" customWidth="1"/>
    <col min="9" max="9" width="14.42578125" customWidth="1"/>
    <col min="11" max="11" width="11.42578125" style="80"/>
    <col min="12" max="12" width="37.5703125" bestFit="1" customWidth="1"/>
    <col min="17" max="17" width="11.42578125" style="80"/>
    <col min="18" max="18" width="33.28515625" bestFit="1" customWidth="1"/>
    <col min="19" max="19" width="29" customWidth="1"/>
    <col min="21" max="21" width="11.42578125" style="80"/>
    <col min="22" max="22" width="35.85546875" bestFit="1" customWidth="1"/>
    <col min="25" max="25" width="11.42578125" style="80"/>
  </cols>
  <sheetData>
    <row r="1" spans="1:23" ht="18.75" x14ac:dyDescent="0.3">
      <c r="A1" s="19" t="s">
        <v>189</v>
      </c>
      <c r="G1" s="81" t="s">
        <v>44</v>
      </c>
      <c r="K1" s="81" t="s">
        <v>125</v>
      </c>
      <c r="Q1" s="81" t="s">
        <v>71</v>
      </c>
      <c r="U1" s="81" t="s">
        <v>68</v>
      </c>
    </row>
    <row r="2" spans="1:23" ht="15" customHeight="1" x14ac:dyDescent="0.25">
      <c r="E2" s="1"/>
    </row>
    <row r="3" spans="1:23" ht="15" customHeight="1" x14ac:dyDescent="0.25">
      <c r="A3" s="4" t="s">
        <v>29</v>
      </c>
      <c r="B3" s="24">
        <v>0</v>
      </c>
      <c r="C3" s="92" t="s">
        <v>74</v>
      </c>
      <c r="D3" s="1"/>
      <c r="E3" s="1"/>
      <c r="H3" s="230" t="s">
        <v>190</v>
      </c>
      <c r="I3" s="230"/>
      <c r="L3" s="82"/>
      <c r="M3" s="23" t="s">
        <v>182</v>
      </c>
      <c r="N3" s="23" t="s">
        <v>183</v>
      </c>
      <c r="O3" s="23" t="s">
        <v>184</v>
      </c>
      <c r="R3" s="223" t="s">
        <v>51</v>
      </c>
      <c r="S3" s="223"/>
      <c r="V3" s="223" t="s">
        <v>61</v>
      </c>
      <c r="W3" s="223"/>
    </row>
    <row r="4" spans="1:23" ht="15" customHeight="1" x14ac:dyDescent="0.25">
      <c r="A4" s="4" t="s">
        <v>30</v>
      </c>
      <c r="B4" s="7">
        <f>B3*60/50</f>
        <v>0</v>
      </c>
      <c r="C4" s="92" t="s">
        <v>75</v>
      </c>
      <c r="D4" s="18"/>
      <c r="E4" s="21"/>
      <c r="F4" s="9"/>
      <c r="H4" s="11" t="s">
        <v>40</v>
      </c>
      <c r="I4" s="6">
        <v>100</v>
      </c>
      <c r="L4" s="83" t="s">
        <v>45</v>
      </c>
      <c r="M4" s="85">
        <f t="shared" ref="M4:O5" si="0">B14</f>
        <v>0</v>
      </c>
      <c r="N4" s="85">
        <f t="shared" si="0"/>
        <v>0</v>
      </c>
      <c r="O4" s="85">
        <f t="shared" si="0"/>
        <v>0</v>
      </c>
      <c r="R4" s="11" t="s">
        <v>52</v>
      </c>
      <c r="S4" s="6">
        <f>2*(B7*B18+B8*C18+B9*D18)</f>
        <v>0</v>
      </c>
      <c r="V4" s="4" t="s">
        <v>62</v>
      </c>
      <c r="W4" s="3">
        <f>1*52</f>
        <v>52</v>
      </c>
    </row>
    <row r="5" spans="1:23" x14ac:dyDescent="0.25">
      <c r="E5" s="22"/>
      <c r="F5" s="9"/>
      <c r="H5" s="4" t="s">
        <v>41</v>
      </c>
      <c r="I5" s="79">
        <f>Tuyaux!E8</f>
        <v>268.82826677457325</v>
      </c>
      <c r="L5" s="83" t="s">
        <v>46</v>
      </c>
      <c r="M5" s="85">
        <f t="shared" si="0"/>
        <v>0</v>
      </c>
      <c r="N5" s="85">
        <f t="shared" si="0"/>
        <v>0</v>
      </c>
      <c r="O5" s="85">
        <f t="shared" si="0"/>
        <v>0</v>
      </c>
      <c r="R5" s="4" t="s">
        <v>53</v>
      </c>
      <c r="S5" s="79">
        <f>S4/110</f>
        <v>0</v>
      </c>
    </row>
    <row r="6" spans="1:23" x14ac:dyDescent="0.25">
      <c r="A6" s="229" t="s">
        <v>177</v>
      </c>
      <c r="B6" s="229"/>
      <c r="C6" s="229"/>
      <c r="E6" s="22"/>
      <c r="F6" s="9"/>
      <c r="L6" s="83" t="s">
        <v>47</v>
      </c>
      <c r="M6" s="84">
        <f>B18</f>
        <v>1.5</v>
      </c>
      <c r="N6" s="84">
        <f>C18</f>
        <v>1.5</v>
      </c>
      <c r="O6" s="84">
        <f>D18</f>
        <v>1.5</v>
      </c>
      <c r="V6" s="223" t="s">
        <v>59</v>
      </c>
      <c r="W6" s="223"/>
    </row>
    <row r="7" spans="1:23" x14ac:dyDescent="0.25">
      <c r="A7" s="5" t="s">
        <v>178</v>
      </c>
      <c r="B7" s="7">
        <f>6*B4</f>
        <v>0</v>
      </c>
      <c r="C7" s="2" t="s">
        <v>2</v>
      </c>
      <c r="E7" s="22"/>
      <c r="F7" s="9"/>
      <c r="H7" s="223" t="s">
        <v>191</v>
      </c>
      <c r="I7" s="223"/>
      <c r="L7" s="83" t="s">
        <v>48</v>
      </c>
      <c r="M7" s="86">
        <f>M6/2</f>
        <v>0.75</v>
      </c>
      <c r="N7" s="86">
        <f>N6/2</f>
        <v>0.75</v>
      </c>
      <c r="O7" s="86">
        <f>O6/2</f>
        <v>0.75</v>
      </c>
      <c r="R7" s="223" t="s">
        <v>122</v>
      </c>
      <c r="S7" s="223"/>
      <c r="V7" s="83" t="s">
        <v>60</v>
      </c>
      <c r="W7" s="91">
        <f>1.5*B10</f>
        <v>0</v>
      </c>
    </row>
    <row r="8" spans="1:23" x14ac:dyDescent="0.25">
      <c r="A8" s="5" t="s">
        <v>179</v>
      </c>
      <c r="B8" s="7">
        <f>2.5*B4</f>
        <v>0</v>
      </c>
      <c r="C8" s="2" t="s">
        <v>2</v>
      </c>
      <c r="E8" s="9"/>
      <c r="F8" s="9"/>
      <c r="H8" s="11" t="s">
        <v>193</v>
      </c>
      <c r="I8" s="6">
        <v>6</v>
      </c>
      <c r="L8" s="83" t="s">
        <v>49</v>
      </c>
      <c r="M8" s="84">
        <f>SQRT(M6^2+M7^2)</f>
        <v>1.6770509831248424</v>
      </c>
      <c r="N8" s="84">
        <f>SQRT(N6^2+N7^2)</f>
        <v>1.6770509831248424</v>
      </c>
      <c r="O8" s="84">
        <f>SQRT(O6^2+O7^2)</f>
        <v>1.6770509831248424</v>
      </c>
      <c r="R8" s="11" t="s">
        <v>123</v>
      </c>
      <c r="S8" s="6">
        <f>B10+W7</f>
        <v>0</v>
      </c>
      <c r="V8" s="11" t="s">
        <v>64</v>
      </c>
      <c r="W8" s="6">
        <f>ROUNDUP(W7/450/8,0)</f>
        <v>0</v>
      </c>
    </row>
    <row r="9" spans="1:23" x14ac:dyDescent="0.25">
      <c r="A9" s="5" t="s">
        <v>180</v>
      </c>
      <c r="B9" s="7">
        <f>2.5*B4</f>
        <v>0</v>
      </c>
      <c r="C9" s="2" t="s">
        <v>2</v>
      </c>
      <c r="E9" s="9"/>
      <c r="F9" s="9"/>
      <c r="H9" s="11" t="s">
        <v>194</v>
      </c>
      <c r="I9" s="6">
        <v>6</v>
      </c>
      <c r="L9" s="83" t="s">
        <v>50</v>
      </c>
      <c r="M9" s="14">
        <v>0.5</v>
      </c>
      <c r="N9" s="14">
        <v>0.5</v>
      </c>
      <c r="O9" s="14">
        <v>0.5</v>
      </c>
      <c r="R9" s="11" t="s">
        <v>124</v>
      </c>
      <c r="S9" s="6">
        <v>30</v>
      </c>
      <c r="V9" s="11" t="s">
        <v>63</v>
      </c>
      <c r="W9" s="2">
        <v>4</v>
      </c>
    </row>
    <row r="10" spans="1:23" ht="15" customHeight="1" x14ac:dyDescent="0.25">
      <c r="A10" s="5" t="s">
        <v>181</v>
      </c>
      <c r="B10" s="7">
        <f>SUM(B7:B9)</f>
        <v>0</v>
      </c>
      <c r="C10" s="2" t="s">
        <v>2</v>
      </c>
      <c r="D10" s="20"/>
      <c r="E10" s="9"/>
      <c r="F10" s="9"/>
      <c r="H10" s="4" t="s">
        <v>41</v>
      </c>
      <c r="I10" s="79">
        <f>Tuyaux!E9</f>
        <v>32.259392012948794</v>
      </c>
      <c r="L10" s="87"/>
      <c r="M10" s="87"/>
      <c r="N10" s="88"/>
      <c r="V10" s="4" t="s">
        <v>66</v>
      </c>
      <c r="W10" s="79">
        <f>W7*W9</f>
        <v>0</v>
      </c>
    </row>
    <row r="11" spans="1:23" ht="15" customHeight="1" x14ac:dyDescent="0.25">
      <c r="L11" s="89" t="s">
        <v>26</v>
      </c>
      <c r="M11" s="15">
        <f>(M4-2*M7)*(M5-2*M7)+2*M8*(M4+M5-2*M7)+2*(M4+2*M9)*M9+2*M5*M9</f>
        <v>-1.7811529493745271</v>
      </c>
      <c r="N11" s="15">
        <f>(N4-2*N7)*(N5-2*N7)+2*N8*(N4+N5-2*N7)+2*(N4+2*N9)*N9+2*N5*N9</f>
        <v>-1.7811529493745271</v>
      </c>
      <c r="O11" s="15">
        <f>(O4-2*O7)*(O5-2*O7)+2*O8*(O4+O5-2*O7)+2*(O4+2*O9)*O9+2*O5*O9</f>
        <v>-1.7811529493745271</v>
      </c>
      <c r="R11" s="223" t="s">
        <v>54</v>
      </c>
      <c r="S11" s="223"/>
      <c r="V11" s="4" t="s">
        <v>62</v>
      </c>
      <c r="W11" s="79">
        <f>W8*W9</f>
        <v>0</v>
      </c>
    </row>
    <row r="12" spans="1:23" ht="15" customHeight="1" x14ac:dyDescent="0.25">
      <c r="A12" s="229" t="s">
        <v>38</v>
      </c>
      <c r="B12" s="229"/>
      <c r="C12" s="229"/>
      <c r="D12" s="229"/>
      <c r="H12" s="223" t="s">
        <v>192</v>
      </c>
      <c r="I12" s="223"/>
      <c r="L12" s="89" t="s">
        <v>5</v>
      </c>
      <c r="M12" s="226">
        <f>SUM(M11:O11)</f>
        <v>-5.3434588481235812</v>
      </c>
      <c r="N12" s="226"/>
      <c r="O12" s="226"/>
      <c r="R12" s="11" t="s">
        <v>55</v>
      </c>
      <c r="S12" s="6">
        <f>S4</f>
        <v>0</v>
      </c>
    </row>
    <row r="13" spans="1:23" ht="15" customHeight="1" x14ac:dyDescent="0.25">
      <c r="A13" s="5"/>
      <c r="B13" s="26" t="s">
        <v>182</v>
      </c>
      <c r="C13" s="25" t="s">
        <v>183</v>
      </c>
      <c r="D13" s="25" t="s">
        <v>184</v>
      </c>
      <c r="H13" s="11" t="s">
        <v>195</v>
      </c>
      <c r="I13" s="6">
        <f>B14</f>
        <v>0</v>
      </c>
      <c r="L13" s="89" t="s">
        <v>6</v>
      </c>
      <c r="M13" s="227">
        <v>1.41</v>
      </c>
      <c r="N13" s="227"/>
      <c r="O13" s="227"/>
      <c r="R13" s="4" t="s">
        <v>53</v>
      </c>
      <c r="S13" s="79">
        <f>S12/110</f>
        <v>0</v>
      </c>
      <c r="V13" s="223" t="s">
        <v>198</v>
      </c>
      <c r="W13" s="223"/>
    </row>
    <row r="14" spans="1:23" ht="15" customHeight="1" x14ac:dyDescent="0.25">
      <c r="A14" s="5" t="s">
        <v>4</v>
      </c>
      <c r="B14" s="7">
        <f>2*B15</f>
        <v>0</v>
      </c>
      <c r="C14" s="7">
        <f>2*C15</f>
        <v>0</v>
      </c>
      <c r="D14" s="7">
        <f>2*D15</f>
        <v>0</v>
      </c>
      <c r="H14" s="11" t="s">
        <v>196</v>
      </c>
      <c r="I14" s="6">
        <f>C14</f>
        <v>0</v>
      </c>
      <c r="L14" s="90" t="s">
        <v>7</v>
      </c>
      <c r="M14" s="228">
        <f>M12*M13</f>
        <v>-7.5342769758542492</v>
      </c>
      <c r="N14" s="228"/>
      <c r="O14" s="228"/>
      <c r="V14" s="83" t="s">
        <v>199</v>
      </c>
      <c r="W14" s="91">
        <f>0.11*B4*13</f>
        <v>0</v>
      </c>
    </row>
    <row r="15" spans="1:23" ht="15" customHeight="1" x14ac:dyDescent="0.25">
      <c r="A15" s="5" t="s">
        <v>3</v>
      </c>
      <c r="B15" s="6">
        <f>SQRT(B7/2)</f>
        <v>0</v>
      </c>
      <c r="C15" s="6">
        <f>SQRT(B8/2)</f>
        <v>0</v>
      </c>
      <c r="D15" s="6">
        <f>SQRT(B9/2)</f>
        <v>0</v>
      </c>
      <c r="H15" s="11" t="s">
        <v>197</v>
      </c>
      <c r="I15" s="6">
        <f>D14</f>
        <v>0</v>
      </c>
      <c r="L15" s="89" t="s">
        <v>27</v>
      </c>
      <c r="M15" s="227">
        <v>0.8</v>
      </c>
      <c r="N15" s="227"/>
      <c r="O15" s="227"/>
      <c r="R15" s="223" t="s">
        <v>56</v>
      </c>
      <c r="S15" s="223"/>
      <c r="V15" s="11" t="s">
        <v>65</v>
      </c>
      <c r="W15" s="2">
        <f>ROUNDUP(W14/9/8,0)</f>
        <v>0</v>
      </c>
    </row>
    <row r="16" spans="1:23" ht="15" customHeight="1" x14ac:dyDescent="0.25">
      <c r="A16" s="5" t="s">
        <v>185</v>
      </c>
      <c r="B16" s="6">
        <v>1</v>
      </c>
      <c r="C16" s="6">
        <v>1</v>
      </c>
      <c r="D16" s="6">
        <v>1</v>
      </c>
      <c r="H16" s="4" t="s">
        <v>41</v>
      </c>
      <c r="I16" s="79">
        <f>Tuyaux!E10</f>
        <v>0</v>
      </c>
      <c r="L16" s="90" t="s">
        <v>28</v>
      </c>
      <c r="M16" s="228">
        <f>M12*M15</f>
        <v>-4.2747670784988649</v>
      </c>
      <c r="N16" s="228"/>
      <c r="O16" s="228"/>
      <c r="R16" s="11" t="s">
        <v>57</v>
      </c>
      <c r="S16" s="6">
        <f>2*(B14+B15+C14+C15+D14+D15)</f>
        <v>0</v>
      </c>
      <c r="V16" s="11" t="s">
        <v>63</v>
      </c>
      <c r="W16" s="183">
        <f>1/13</f>
        <v>7.6923076923076927E-2</v>
      </c>
    </row>
    <row r="17" spans="1:23" ht="15" customHeight="1" x14ac:dyDescent="0.25">
      <c r="A17" s="5" t="s">
        <v>31</v>
      </c>
      <c r="B17" s="12">
        <v>0.5</v>
      </c>
      <c r="C17" s="2">
        <v>0.5</v>
      </c>
      <c r="D17" s="2">
        <v>0.5</v>
      </c>
      <c r="R17" s="4" t="s">
        <v>117</v>
      </c>
      <c r="S17" s="79">
        <f>S16*3*0.35*1700</f>
        <v>0</v>
      </c>
      <c r="V17" s="4" t="s">
        <v>67</v>
      </c>
      <c r="W17" s="79">
        <f>W14*1000*W16</f>
        <v>0</v>
      </c>
    </row>
    <row r="18" spans="1:23" x14ac:dyDescent="0.25">
      <c r="A18" s="5" t="s">
        <v>39</v>
      </c>
      <c r="B18" s="13">
        <f>B17+B16</f>
        <v>1.5</v>
      </c>
      <c r="C18" s="98">
        <f>C17+C16</f>
        <v>1.5</v>
      </c>
      <c r="D18" s="98">
        <f>D17+D16</f>
        <v>1.5</v>
      </c>
      <c r="L18" s="8" t="s">
        <v>24</v>
      </c>
      <c r="M18" s="224" t="s">
        <v>23</v>
      </c>
      <c r="N18" s="224"/>
      <c r="O18" s="224"/>
      <c r="P18" s="225"/>
      <c r="R18" s="4" t="s">
        <v>58</v>
      </c>
      <c r="S18" s="79">
        <f>S16*3*0.3</f>
        <v>0</v>
      </c>
      <c r="V18" s="4" t="s">
        <v>62</v>
      </c>
      <c r="W18" s="184">
        <f>W15*W16</f>
        <v>0</v>
      </c>
    </row>
    <row r="19" spans="1:23" x14ac:dyDescent="0.25">
      <c r="L19" s="8" t="s">
        <v>25</v>
      </c>
      <c r="M19" s="224" t="s">
        <v>22</v>
      </c>
      <c r="N19" s="224"/>
      <c r="O19" s="224"/>
      <c r="P19" s="225"/>
    </row>
    <row r="20" spans="1:23" x14ac:dyDescent="0.25">
      <c r="A20" s="223" t="s">
        <v>187</v>
      </c>
      <c r="B20" s="223"/>
      <c r="C20" s="181"/>
      <c r="R20" s="223" t="s">
        <v>78</v>
      </c>
      <c r="S20" s="223"/>
      <c r="V20" s="223" t="s">
        <v>139</v>
      </c>
      <c r="W20" s="223"/>
    </row>
    <row r="21" spans="1:23" x14ac:dyDescent="0.25">
      <c r="A21" s="4" t="s">
        <v>188</v>
      </c>
      <c r="B21" s="180">
        <v>20</v>
      </c>
      <c r="C21" s="182"/>
      <c r="R21" s="11" t="s">
        <v>79</v>
      </c>
      <c r="S21" s="2">
        <f>10*2500</f>
        <v>25000</v>
      </c>
      <c r="V21" s="11" t="s">
        <v>73</v>
      </c>
      <c r="W21" s="98">
        <f>IF(OR(S28="Dégrilleur automatique 300 kg (&lt; 1000 EH)",S28="Dégrilleur automatique 500 kg (&lt; 2000 EH)",S28="Dégrilleur automatique 1000 kg (&gt;= 2000 EH)"),6/3600*B3,0)</f>
        <v>0</v>
      </c>
    </row>
    <row r="22" spans="1:23" x14ac:dyDescent="0.25">
      <c r="R22" s="11" t="s">
        <v>83</v>
      </c>
      <c r="S22" s="2">
        <f>2*2200</f>
        <v>4400</v>
      </c>
      <c r="V22" s="11" t="s">
        <v>70</v>
      </c>
      <c r="W22" s="98">
        <f>IF(OR(S29="Poste de relevage &lt; 1000 EH",S29="Poste de relevage &lt; 2000 EH",S29="Poste de relevage &gt;= 2000 EH"),160/3600*B3,0)</f>
        <v>0</v>
      </c>
    </row>
    <row r="23" spans="1:23" ht="15" customHeight="1" x14ac:dyDescent="0.25">
      <c r="R23" s="11" t="s">
        <v>80</v>
      </c>
      <c r="S23" s="2">
        <f>2*2*2200</f>
        <v>8800</v>
      </c>
      <c r="V23" s="4" t="s">
        <v>97</v>
      </c>
      <c r="W23" s="99">
        <f>SUM(W21:W22)</f>
        <v>0</v>
      </c>
    </row>
    <row r="24" spans="1:23" x14ac:dyDescent="0.25">
      <c r="R24" s="4" t="s">
        <v>84</v>
      </c>
      <c r="S24" s="3">
        <f>S21</f>
        <v>25000</v>
      </c>
    </row>
    <row r="25" spans="1:23" x14ac:dyDescent="0.25">
      <c r="R25" s="4" t="s">
        <v>121</v>
      </c>
      <c r="S25" s="3">
        <f>SUM(S22:S23)</f>
        <v>13200</v>
      </c>
      <c r="V25" s="9"/>
    </row>
    <row r="27" spans="1:23" x14ac:dyDescent="0.25">
      <c r="R27" s="223" t="s">
        <v>72</v>
      </c>
      <c r="S27" s="223"/>
    </row>
    <row r="28" spans="1:23" x14ac:dyDescent="0.25">
      <c r="R28" s="11" t="s">
        <v>73</v>
      </c>
      <c r="S28" s="94"/>
    </row>
    <row r="29" spans="1:23" x14ac:dyDescent="0.25">
      <c r="R29" s="11" t="s">
        <v>70</v>
      </c>
      <c r="S29" s="94"/>
    </row>
  </sheetData>
  <mergeCells count="23">
    <mergeCell ref="A20:B20"/>
    <mergeCell ref="A6:C6"/>
    <mergeCell ref="H3:I3"/>
    <mergeCell ref="H7:I7"/>
    <mergeCell ref="H12:I12"/>
    <mergeCell ref="A12:D12"/>
    <mergeCell ref="M18:P18"/>
    <mergeCell ref="M19:P19"/>
    <mergeCell ref="M12:O12"/>
    <mergeCell ref="M13:O13"/>
    <mergeCell ref="M14:O14"/>
    <mergeCell ref="M15:O15"/>
    <mergeCell ref="M16:O16"/>
    <mergeCell ref="R27:S27"/>
    <mergeCell ref="R20:S20"/>
    <mergeCell ref="V13:W13"/>
    <mergeCell ref="V20:W20"/>
    <mergeCell ref="V3:W3"/>
    <mergeCell ref="V6:W6"/>
    <mergeCell ref="R3:S3"/>
    <mergeCell ref="R11:S11"/>
    <mergeCell ref="R7:S7"/>
    <mergeCell ref="R15:S15"/>
  </mergeCells>
  <hyperlinks>
    <hyperlink ref="M19" r:id="rId1"/>
    <hyperlink ref="M18" r:id="rId2"/>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2">
        <x14:dataValidation type="list" showInputMessage="1" prompt="Choisir">
          <x14:formula1>
            <xm:f>Listes!$A$2:$A$5</xm:f>
          </x14:formula1>
          <xm:sqref>S28</xm:sqref>
        </x14:dataValidation>
        <x14:dataValidation type="list" showInputMessage="1" prompt="Choisir">
          <x14:formula1>
            <xm:f>Listes!$A$8:$A$11</xm:f>
          </x14:formula1>
          <xm:sqref>S29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88"/>
  <sheetViews>
    <sheetView workbookViewId="0">
      <selection activeCell="H16" sqref="H16"/>
    </sheetView>
  </sheetViews>
  <sheetFormatPr baseColWidth="10" defaultRowHeight="12.75" x14ac:dyDescent="0.2"/>
  <cols>
    <col min="1" max="16384" width="11.42578125" style="27"/>
  </cols>
  <sheetData>
    <row r="1" spans="1:8" ht="18.75" x14ac:dyDescent="0.3">
      <c r="A1" s="58" t="s">
        <v>201</v>
      </c>
    </row>
    <row r="2" spans="1:8" x14ac:dyDescent="0.2">
      <c r="A2" s="60" t="s">
        <v>42</v>
      </c>
    </row>
    <row r="3" spans="1:8" ht="15" customHeight="1" x14ac:dyDescent="0.2"/>
    <row r="4" spans="1:8" ht="15" customHeight="1" thickBot="1" x14ac:dyDescent="0.3">
      <c r="A4" s="57" t="s">
        <v>19</v>
      </c>
    </row>
    <row r="5" spans="1:8" ht="15" customHeight="1" thickBot="1" x14ac:dyDescent="0.3">
      <c r="A5" s="61" t="s">
        <v>20</v>
      </c>
      <c r="B5" s="62">
        <v>1380</v>
      </c>
      <c r="C5" s="63" t="s">
        <v>18</v>
      </c>
      <c r="D5" s="63" t="s">
        <v>19</v>
      </c>
      <c r="E5" s="64"/>
    </row>
    <row r="6" spans="1:8" ht="15" customHeight="1" x14ac:dyDescent="0.25">
      <c r="A6" s="65" t="s">
        <v>16</v>
      </c>
      <c r="B6" s="66" t="s">
        <v>15</v>
      </c>
      <c r="C6" s="66" t="s">
        <v>14</v>
      </c>
      <c r="D6" s="66" t="s">
        <v>13</v>
      </c>
      <c r="E6" s="67" t="s">
        <v>13</v>
      </c>
    </row>
    <row r="7" spans="1:8" ht="15" customHeight="1" x14ac:dyDescent="0.25">
      <c r="A7" s="68" t="s">
        <v>12</v>
      </c>
      <c r="B7" s="69" t="s">
        <v>12</v>
      </c>
      <c r="C7" s="69" t="s">
        <v>11</v>
      </c>
      <c r="D7" s="69" t="s">
        <v>10</v>
      </c>
      <c r="E7" s="70" t="s">
        <v>9</v>
      </c>
    </row>
    <row r="8" spans="1:8" ht="15" customHeight="1" x14ac:dyDescent="0.25">
      <c r="A8" s="47">
        <v>200</v>
      </c>
      <c r="B8" s="48">
        <v>193.7</v>
      </c>
      <c r="C8" s="75">
        <f>'Feuille de calcul'!I4</f>
        <v>100</v>
      </c>
      <c r="D8" s="48">
        <f>(1/4)*((PI()*A8^2)-(PI()*B8^2))*$B$5*(0.000001)</f>
        <v>2.6882826677457325</v>
      </c>
      <c r="E8" s="77">
        <f>D8*C8</f>
        <v>268.82826677457325</v>
      </c>
      <c r="F8" s="27" t="s">
        <v>190</v>
      </c>
    </row>
    <row r="9" spans="1:8" ht="15" customHeight="1" x14ac:dyDescent="0.25">
      <c r="A9" s="47">
        <v>200</v>
      </c>
      <c r="B9" s="48">
        <v>193.7</v>
      </c>
      <c r="C9" s="75">
        <f>'Feuille de calcul'!I8+'Feuille de calcul'!I9</f>
        <v>12</v>
      </c>
      <c r="D9" s="48">
        <f>(1/4)*((PI()*A9^2)-(PI()*B9^2))*$B$5*(0.000001)</f>
        <v>2.6882826677457325</v>
      </c>
      <c r="E9" s="77">
        <f>D9*C9</f>
        <v>32.259392012948794</v>
      </c>
      <c r="F9" s="27" t="s">
        <v>191</v>
      </c>
    </row>
    <row r="10" spans="1:8" ht="15" customHeight="1" thickBot="1" x14ac:dyDescent="0.3">
      <c r="A10" s="51">
        <v>200</v>
      </c>
      <c r="B10" s="52">
        <v>193.7</v>
      </c>
      <c r="C10" s="76">
        <f>'Feuille de calcul'!I13+'Feuille de calcul'!I14+'Feuille de calcul'!I15</f>
        <v>0</v>
      </c>
      <c r="D10" s="52">
        <f>(1/4)*((PI()*A10^2)-(PI()*B10^2))*$B$5*(0.000001)</f>
        <v>2.6882826677457325</v>
      </c>
      <c r="E10" s="78">
        <f>D10*C10</f>
        <v>0</v>
      </c>
      <c r="F10" s="27" t="s">
        <v>192</v>
      </c>
    </row>
    <row r="11" spans="1:8" ht="15" customHeight="1" x14ac:dyDescent="0.25">
      <c r="A11" s="59"/>
      <c r="B11" s="59"/>
      <c r="C11" s="59"/>
      <c r="D11" s="59"/>
      <c r="E11" s="59"/>
    </row>
    <row r="12" spans="1:8" ht="15" customHeight="1" thickBot="1" x14ac:dyDescent="0.3">
      <c r="A12" s="59"/>
      <c r="B12" s="59"/>
      <c r="C12" s="59"/>
      <c r="D12" s="59"/>
      <c r="E12" s="59"/>
    </row>
    <row r="13" spans="1:8" s="72" customFormat="1" ht="15" customHeight="1" x14ac:dyDescent="0.25">
      <c r="A13" s="74" t="s">
        <v>43</v>
      </c>
      <c r="B13" s="71"/>
      <c r="C13" s="71"/>
      <c r="D13" s="71"/>
      <c r="E13" s="71"/>
    </row>
    <row r="14" spans="1:8" s="73" customFormat="1" ht="15" customHeight="1" x14ac:dyDescent="0.25">
      <c r="A14" s="59"/>
      <c r="B14" s="59"/>
      <c r="C14" s="59"/>
      <c r="D14" s="59"/>
      <c r="E14" s="59"/>
    </row>
    <row r="15" spans="1:8" s="31" customFormat="1" ht="15" x14ac:dyDescent="0.25">
      <c r="A15" s="10" t="s">
        <v>32</v>
      </c>
      <c r="B15" s="27"/>
      <c r="C15" s="28"/>
      <c r="D15" s="29"/>
      <c r="E15" s="28"/>
      <c r="F15" s="29"/>
      <c r="G15" s="30"/>
      <c r="H15" s="30"/>
    </row>
    <row r="16" spans="1:8" s="32" customFormat="1" ht="15.75" thickBot="1" x14ac:dyDescent="0.3">
      <c r="A16" s="30"/>
      <c r="H16" s="30"/>
    </row>
    <row r="17" spans="1:12" s="31" customFormat="1" ht="15.75" thickBot="1" x14ac:dyDescent="0.3">
      <c r="A17" s="36" t="s">
        <v>20</v>
      </c>
      <c r="B17" s="37">
        <v>1380</v>
      </c>
      <c r="C17" s="38" t="s">
        <v>18</v>
      </c>
      <c r="D17" s="38" t="s">
        <v>19</v>
      </c>
      <c r="E17" s="39"/>
      <c r="F17" s="40"/>
      <c r="G17" s="40"/>
      <c r="H17" s="30"/>
    </row>
    <row r="18" spans="1:12" s="32" customFormat="1" ht="15" x14ac:dyDescent="0.25">
      <c r="A18" s="41" t="s">
        <v>16</v>
      </c>
      <c r="B18" s="42" t="s">
        <v>15</v>
      </c>
      <c r="C18" s="42" t="s">
        <v>14</v>
      </c>
      <c r="D18" s="42" t="s">
        <v>13</v>
      </c>
      <c r="E18" s="43" t="s">
        <v>13</v>
      </c>
      <c r="F18" s="40"/>
      <c r="G18" s="40"/>
      <c r="H18" s="30"/>
    </row>
    <row r="19" spans="1:12" s="32" customFormat="1" ht="15" x14ac:dyDescent="0.25">
      <c r="A19" s="44" t="s">
        <v>12</v>
      </c>
      <c r="B19" s="45" t="s">
        <v>12</v>
      </c>
      <c r="C19" s="45" t="s">
        <v>11</v>
      </c>
      <c r="D19" s="45" t="s">
        <v>10</v>
      </c>
      <c r="E19" s="46" t="s">
        <v>9</v>
      </c>
      <c r="F19" s="40"/>
      <c r="G19" s="40"/>
      <c r="H19" s="30"/>
      <c r="L19" s="33"/>
    </row>
    <row r="20" spans="1:12" s="32" customFormat="1" ht="15" x14ac:dyDescent="0.25">
      <c r="A20" s="47">
        <v>160</v>
      </c>
      <c r="B20" s="48">
        <v>155</v>
      </c>
      <c r="C20" s="48">
        <v>46</v>
      </c>
      <c r="D20" s="48">
        <f>(1/4)*((PI()*A20^2)-(PI()*B20^2))*$B$17*(0.000001)</f>
        <v>1.7070629081443545</v>
      </c>
      <c r="E20" s="49">
        <f>D20*C20</f>
        <v>78.524893774640304</v>
      </c>
      <c r="F20" s="40"/>
      <c r="G20" s="40"/>
      <c r="H20" s="30"/>
      <c r="L20" s="33"/>
    </row>
    <row r="21" spans="1:12" s="31" customFormat="1" ht="15" x14ac:dyDescent="0.25">
      <c r="A21" s="47">
        <v>200</v>
      </c>
      <c r="B21" s="48">
        <v>193.7</v>
      </c>
      <c r="C21" s="48">
        <v>20</v>
      </c>
      <c r="D21" s="48">
        <f>(1/4)*((PI()*A21^2)-(PI()*B21^2))*$B$17*(0.000001)</f>
        <v>2.6882826677457325</v>
      </c>
      <c r="E21" s="49">
        <f>D21*C21</f>
        <v>53.765653354914647</v>
      </c>
      <c r="F21" s="40"/>
      <c r="G21" s="40"/>
      <c r="H21" s="30"/>
      <c r="L21" s="34"/>
    </row>
    <row r="22" spans="1:12" s="31" customFormat="1" ht="15" x14ac:dyDescent="0.25">
      <c r="A22" s="47">
        <v>250</v>
      </c>
      <c r="B22" s="48">
        <v>242.1</v>
      </c>
      <c r="C22" s="48">
        <v>90</v>
      </c>
      <c r="D22" s="48">
        <f>(1/4)*((PI()*A22^2)-(PI()*B22^2))*$B$17*(0.000001)</f>
        <v>4.2135623435383538</v>
      </c>
      <c r="E22" s="49">
        <f>D22*C22</f>
        <v>379.22061091845183</v>
      </c>
      <c r="F22" s="50" t="s">
        <v>33</v>
      </c>
      <c r="G22" s="40"/>
      <c r="H22" s="30"/>
      <c r="L22" s="34"/>
    </row>
    <row r="23" spans="1:12" s="31" customFormat="1" ht="15.75" thickBot="1" x14ac:dyDescent="0.3">
      <c r="A23" s="51"/>
      <c r="B23" s="52"/>
      <c r="C23" s="52"/>
      <c r="D23" s="53" t="s">
        <v>8</v>
      </c>
      <c r="E23" s="54">
        <f>SUM(E20:E22)</f>
        <v>511.51115804800679</v>
      </c>
      <c r="F23" s="55">
        <f>E23*0.2</f>
        <v>102.30223160960136</v>
      </c>
      <c r="G23" s="40" t="s">
        <v>0</v>
      </c>
      <c r="H23" s="30"/>
    </row>
    <row r="24" spans="1:12" s="31" customFormat="1" ht="15.75" thickBot="1" x14ac:dyDescent="0.3">
      <c r="A24" s="27"/>
      <c r="B24" s="27"/>
      <c r="C24" s="27"/>
      <c r="D24" s="27"/>
      <c r="E24" s="27"/>
      <c r="F24" s="27"/>
      <c r="G24" s="27"/>
      <c r="H24" s="30"/>
    </row>
    <row r="25" spans="1:12" s="31" customFormat="1" ht="15.75" thickBot="1" x14ac:dyDescent="0.3">
      <c r="A25" s="36" t="s">
        <v>20</v>
      </c>
      <c r="B25" s="37">
        <v>7900</v>
      </c>
      <c r="C25" s="38" t="s">
        <v>18</v>
      </c>
      <c r="D25" s="38" t="s">
        <v>17</v>
      </c>
      <c r="E25" s="39"/>
      <c r="F25" s="40"/>
      <c r="G25" s="40"/>
      <c r="H25" s="30"/>
    </row>
    <row r="26" spans="1:12" s="31" customFormat="1" ht="15" x14ac:dyDescent="0.25">
      <c r="A26" s="41" t="s">
        <v>16</v>
      </c>
      <c r="B26" s="42" t="s">
        <v>15</v>
      </c>
      <c r="C26" s="42" t="s">
        <v>14</v>
      </c>
      <c r="D26" s="42" t="s">
        <v>13</v>
      </c>
      <c r="E26" s="43" t="s">
        <v>13</v>
      </c>
      <c r="F26" s="40"/>
      <c r="G26" s="40"/>
      <c r="H26" s="30"/>
    </row>
    <row r="27" spans="1:12" s="31" customFormat="1" ht="15" x14ac:dyDescent="0.25">
      <c r="A27" s="44" t="s">
        <v>12</v>
      </c>
      <c r="B27" s="45" t="s">
        <v>12</v>
      </c>
      <c r="C27" s="45" t="s">
        <v>11</v>
      </c>
      <c r="D27" s="45" t="s">
        <v>10</v>
      </c>
      <c r="E27" s="46" t="s">
        <v>9</v>
      </c>
      <c r="F27" s="40"/>
      <c r="G27" s="40"/>
      <c r="H27" s="30"/>
    </row>
    <row r="28" spans="1:12" s="31" customFormat="1" ht="15" x14ac:dyDescent="0.25">
      <c r="A28" s="47">
        <v>129</v>
      </c>
      <c r="B28" s="48">
        <v>125</v>
      </c>
      <c r="C28" s="48">
        <v>90</v>
      </c>
      <c r="D28" s="48">
        <f>(1/4)*((PI()*A28^2)-(PI()*B28^2))*$B$25*(0.000001)</f>
        <v>6.3039198186932808</v>
      </c>
      <c r="E28" s="49">
        <f>D28*C28</f>
        <v>567.35278368239528</v>
      </c>
      <c r="F28" s="40"/>
      <c r="G28" s="40"/>
      <c r="H28" s="30"/>
    </row>
    <row r="29" spans="1:12" s="31" customFormat="1" ht="15" x14ac:dyDescent="0.25">
      <c r="A29" s="47">
        <v>104</v>
      </c>
      <c r="B29" s="48">
        <v>100</v>
      </c>
      <c r="C29" s="48">
        <v>20</v>
      </c>
      <c r="D29" s="48">
        <f>(1/4)*((PI()*A29^2)-(PI()*B29^2))*$B$25*(0.000001)</f>
        <v>5.0629907205253115</v>
      </c>
      <c r="E29" s="49">
        <f>D29*C29</f>
        <v>101.25981441050624</v>
      </c>
      <c r="F29" s="40"/>
      <c r="G29" s="40"/>
      <c r="H29" s="30"/>
    </row>
    <row r="30" spans="1:12" s="31" customFormat="1" ht="15" x14ac:dyDescent="0.25">
      <c r="A30" s="47">
        <v>84</v>
      </c>
      <c r="B30" s="48">
        <v>80</v>
      </c>
      <c r="C30" s="48">
        <v>46</v>
      </c>
      <c r="D30" s="48">
        <f>(1/4)*((PI()*A30^2)-(PI()*B30^2))*$B$25*(0.000001)</f>
        <v>4.0702474419909329</v>
      </c>
      <c r="E30" s="49">
        <f>D30*C30</f>
        <v>187.23138233158292</v>
      </c>
      <c r="F30" s="50" t="s">
        <v>34</v>
      </c>
      <c r="G30" s="40"/>
      <c r="H30" s="30"/>
    </row>
    <row r="31" spans="1:12" s="31" customFormat="1" ht="15.75" thickBot="1" x14ac:dyDescent="0.3">
      <c r="A31" s="51"/>
      <c r="B31" s="52"/>
      <c r="C31" s="52"/>
      <c r="D31" s="53" t="s">
        <v>8</v>
      </c>
      <c r="E31" s="54">
        <f>SUM(E28:E30)</f>
        <v>855.84398042448447</v>
      </c>
      <c r="F31" s="55">
        <f>E31*0.8</f>
        <v>684.67518433958764</v>
      </c>
      <c r="G31" s="40" t="s">
        <v>0</v>
      </c>
      <c r="H31" s="30"/>
    </row>
    <row r="32" spans="1:12" s="31" customFormat="1" ht="15" customHeight="1" x14ac:dyDescent="0.25">
      <c r="A32" s="29"/>
      <c r="B32" s="27"/>
      <c r="C32" s="27"/>
      <c r="D32" s="27"/>
      <c r="E32" s="27"/>
      <c r="F32" s="27"/>
      <c r="G32" s="27"/>
      <c r="H32" s="30"/>
    </row>
    <row r="33" spans="1:8" s="31" customFormat="1" ht="15" customHeight="1" x14ac:dyDescent="0.25">
      <c r="A33" s="27"/>
      <c r="B33" s="27"/>
      <c r="C33" s="27"/>
      <c r="D33" s="27"/>
      <c r="E33" s="27"/>
      <c r="F33" s="27"/>
      <c r="G33" s="27"/>
      <c r="H33" s="30"/>
    </row>
    <row r="34" spans="1:8" ht="15" customHeight="1" x14ac:dyDescent="0.25">
      <c r="A34" s="35" t="s">
        <v>36</v>
      </c>
    </row>
    <row r="35" spans="1:8" ht="15" customHeight="1" x14ac:dyDescent="0.2"/>
    <row r="36" spans="1:8" s="31" customFormat="1" ht="15" customHeight="1" x14ac:dyDescent="0.25">
      <c r="A36" s="45" t="s">
        <v>35</v>
      </c>
      <c r="B36" s="45" t="s">
        <v>21</v>
      </c>
      <c r="C36" s="28"/>
      <c r="D36" s="29"/>
      <c r="E36" s="28"/>
      <c r="F36" s="29"/>
      <c r="G36" s="29"/>
      <c r="H36" s="30"/>
    </row>
    <row r="37" spans="1:8" ht="15" customHeight="1" x14ac:dyDescent="0.25">
      <c r="A37" s="16">
        <v>160</v>
      </c>
      <c r="B37" s="56">
        <f>(A20-B20)/2</f>
        <v>2.5</v>
      </c>
    </row>
    <row r="38" spans="1:8" ht="15" customHeight="1" x14ac:dyDescent="0.25">
      <c r="A38" s="16">
        <v>200</v>
      </c>
      <c r="B38" s="56">
        <f>(A21-B21)/2</f>
        <v>3.1500000000000057</v>
      </c>
    </row>
    <row r="39" spans="1:8" ht="15" customHeight="1" x14ac:dyDescent="0.25">
      <c r="A39" s="17">
        <v>250</v>
      </c>
      <c r="B39" s="56">
        <f>(A22-B22)/2</f>
        <v>3.9500000000000028</v>
      </c>
    </row>
    <row r="40" spans="1:8" ht="15" customHeight="1" x14ac:dyDescent="0.2"/>
    <row r="41" spans="1:8" ht="15" customHeight="1" x14ac:dyDescent="0.2"/>
    <row r="42" spans="1:8" ht="15" customHeight="1" x14ac:dyDescent="0.25">
      <c r="A42" s="35" t="s">
        <v>37</v>
      </c>
    </row>
    <row r="43" spans="1:8" ht="15" customHeight="1" x14ac:dyDescent="0.2"/>
    <row r="44" spans="1:8" ht="15" customHeight="1" x14ac:dyDescent="0.25">
      <c r="A44" s="45" t="s">
        <v>35</v>
      </c>
      <c r="B44" s="45" t="s">
        <v>21</v>
      </c>
    </row>
    <row r="45" spans="1:8" ht="15" customHeight="1" x14ac:dyDescent="0.25">
      <c r="A45" s="16">
        <v>129</v>
      </c>
      <c r="B45" s="56">
        <f>(A28-B28)/2</f>
        <v>2</v>
      </c>
    </row>
    <row r="46" spans="1:8" ht="15" customHeight="1" x14ac:dyDescent="0.25">
      <c r="A46" s="16">
        <v>104</v>
      </c>
      <c r="B46" s="56">
        <f>(A29-B29)/2</f>
        <v>2</v>
      </c>
    </row>
    <row r="47" spans="1:8" ht="15" customHeight="1" x14ac:dyDescent="0.25">
      <c r="A47" s="17">
        <v>84</v>
      </c>
      <c r="B47" s="56">
        <f>(A30-B30)/2</f>
        <v>2</v>
      </c>
    </row>
    <row r="48" spans="1: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8" ht="12.75" customHeight="1" x14ac:dyDescent="0.2"/>
  </sheetData>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zoomScaleNormal="100" workbookViewId="0">
      <selection activeCell="A20" sqref="A20"/>
    </sheetView>
  </sheetViews>
  <sheetFormatPr baseColWidth="10" defaultRowHeight="15" x14ac:dyDescent="0.25"/>
  <cols>
    <col min="1" max="1" width="40.28515625" bestFit="1" customWidth="1"/>
  </cols>
  <sheetData>
    <row r="1" spans="1:1" x14ac:dyDescent="0.25">
      <c r="A1" s="93" t="s">
        <v>76</v>
      </c>
    </row>
    <row r="2" spans="1:1" x14ac:dyDescent="0.25">
      <c r="A2" t="s">
        <v>77</v>
      </c>
    </row>
    <row r="3" spans="1:1" x14ac:dyDescent="0.25">
      <c r="A3" t="s">
        <v>81</v>
      </c>
    </row>
    <row r="4" spans="1:1" x14ac:dyDescent="0.25">
      <c r="A4" t="s">
        <v>82</v>
      </c>
    </row>
    <row r="5" spans="1:1" x14ac:dyDescent="0.25">
      <c r="A5" t="s">
        <v>88</v>
      </c>
    </row>
    <row r="7" spans="1:1" x14ac:dyDescent="0.25">
      <c r="A7" s="93" t="s">
        <v>85</v>
      </c>
    </row>
    <row r="8" spans="1:1" x14ac:dyDescent="0.25">
      <c r="A8" t="s">
        <v>90</v>
      </c>
    </row>
    <row r="9" spans="1:1" x14ac:dyDescent="0.25">
      <c r="A9" t="s">
        <v>87</v>
      </c>
    </row>
    <row r="10" spans="1:1" x14ac:dyDescent="0.25">
      <c r="A10" t="s">
        <v>86</v>
      </c>
    </row>
    <row r="11" spans="1:1" x14ac:dyDescent="0.25">
      <c r="A11" t="s">
        <v>89</v>
      </c>
    </row>
    <row r="13" spans="1:1" x14ac:dyDescent="0.25">
      <c r="A13" s="9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C19" sqref="C19"/>
    </sheetView>
  </sheetViews>
  <sheetFormatPr baseColWidth="10" defaultRowHeight="15" x14ac:dyDescent="0.25"/>
  <cols>
    <col min="1" max="1" width="34.42578125" bestFit="1" customWidth="1"/>
    <col min="4" max="5" width="14.42578125" bestFit="1" customWidth="1"/>
  </cols>
  <sheetData>
    <row r="1" spans="1:5" x14ac:dyDescent="0.25">
      <c r="A1" s="97" t="s">
        <v>93</v>
      </c>
      <c r="B1" s="97" t="s">
        <v>91</v>
      </c>
      <c r="C1" s="97" t="s">
        <v>92</v>
      </c>
    </row>
    <row r="2" spans="1:5" x14ac:dyDescent="0.25">
      <c r="A2" s="95" t="s">
        <v>70</v>
      </c>
      <c r="B2" s="95">
        <v>414720</v>
      </c>
      <c r="C2" s="95">
        <v>195840</v>
      </c>
    </row>
    <row r="3" spans="1:5" x14ac:dyDescent="0.25">
      <c r="A3" s="95" t="s">
        <v>69</v>
      </c>
      <c r="B3" s="95">
        <v>8640</v>
      </c>
      <c r="C3" s="95">
        <v>28512</v>
      </c>
    </row>
    <row r="4" spans="1:5" x14ac:dyDescent="0.25">
      <c r="A4" s="95" t="s">
        <v>94</v>
      </c>
      <c r="B4" s="95">
        <v>4860</v>
      </c>
      <c r="C4" s="95">
        <v>28440</v>
      </c>
    </row>
    <row r="6" spans="1:5" x14ac:dyDescent="0.25">
      <c r="A6" s="97" t="s">
        <v>152</v>
      </c>
      <c r="B6" s="97" t="s">
        <v>91</v>
      </c>
      <c r="C6" s="97" t="s">
        <v>92</v>
      </c>
      <c r="D6" s="97" t="s">
        <v>96</v>
      </c>
      <c r="E6" s="97" t="s">
        <v>95</v>
      </c>
    </row>
    <row r="7" spans="1:5" x14ac:dyDescent="0.25">
      <c r="A7" s="95" t="s">
        <v>70</v>
      </c>
      <c r="B7" s="96">
        <f>B2/1500</f>
        <v>276.48</v>
      </c>
      <c r="C7" s="96">
        <f>C2/5200</f>
        <v>37.661538461538463</v>
      </c>
      <c r="D7" s="96">
        <f>AVERAGE(B7:C7)</f>
        <v>157.07076923076923</v>
      </c>
      <c r="E7" s="95">
        <v>160</v>
      </c>
    </row>
    <row r="8" spans="1:5" x14ac:dyDescent="0.25">
      <c r="A8" s="95" t="s">
        <v>69</v>
      </c>
      <c r="B8" s="96">
        <f>B3/1500</f>
        <v>5.76</v>
      </c>
      <c r="C8" s="96">
        <f>C3/5200</f>
        <v>5.483076923076923</v>
      </c>
      <c r="D8" s="96">
        <f t="shared" ref="D8:D9" si="0">AVERAGE(B8:C8)</f>
        <v>5.6215384615384618</v>
      </c>
      <c r="E8" s="95">
        <v>6</v>
      </c>
    </row>
    <row r="9" spans="1:5" x14ac:dyDescent="0.25">
      <c r="A9" s="95" t="s">
        <v>94</v>
      </c>
      <c r="B9" s="96">
        <f>B4/1500</f>
        <v>3.24</v>
      </c>
      <c r="C9" s="96">
        <f>C4/5200</f>
        <v>5.4692307692307693</v>
      </c>
      <c r="D9" s="96">
        <f t="shared" si="0"/>
        <v>4.3546153846153848</v>
      </c>
      <c r="E9" s="95">
        <v>4</v>
      </c>
    </row>
    <row r="11" spans="1:5" x14ac:dyDescent="0.25">
      <c r="A11" t="s">
        <v>151</v>
      </c>
    </row>
    <row r="12" spans="1:5" x14ac:dyDescent="0.25">
      <c r="C12"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Présentation</vt:lpstr>
      <vt:lpstr>LCI</vt:lpstr>
      <vt:lpstr>Feuille de calcul</vt:lpstr>
      <vt:lpstr>Tuyaux</vt:lpstr>
      <vt:lpstr>Listes</vt:lpstr>
      <vt:lpstr>Electricité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eva.risch</dc:creator>
  <cp:lastModifiedBy>Ceccaldi Mathilde</cp:lastModifiedBy>
  <dcterms:created xsi:type="dcterms:W3CDTF">2014-01-13T10:46:59Z</dcterms:created>
  <dcterms:modified xsi:type="dcterms:W3CDTF">2018-04-17T12:04:21Z</dcterms:modified>
</cp:coreProperties>
</file>